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GT-ROMA\DOC-GEN\STUDIO\Fondazione Restart\01_Bilanci\Budget previsionale\Budget 2026 - 2028\"/>
    </mc:Choice>
  </mc:AlternateContent>
  <xr:revisionPtr revIDLastSave="0" documentId="13_ncr:1_{AA8C7A8D-F441-42F1-9660-27DE9DC1EE6E}" xr6:coauthVersionLast="47" xr6:coauthVersionMax="47" xr10:uidLastSave="{00000000-0000-0000-0000-000000000000}"/>
  <bookViews>
    <workbookView xWindow="-57720" yWindow="-5505" windowWidth="29040" windowHeight="15720" firstSheet="1" activeTab="1" xr2:uid="{26C12608-E491-42C9-972C-E0D96860B227}"/>
  </bookViews>
  <sheets>
    <sheet name="BP '26-28" sheetId="1" r:id="rId1"/>
    <sheet name="BP '26-28 New" sheetId="6" r:id="rId2"/>
    <sheet name="DS_INTERNAL_SETTINGS_STORAGE" sheetId="2" state="veryHidden" r:id="rId3"/>
    <sheet name="DS_INTERNAL_DOCGROUP_STORAGE" sheetId="3" state="veryHidden" r:id="rId4"/>
    <sheet name="DS_INTERNAL_DOCUMENT_STORAGE" sheetId="4" state="veryHidden" r:id="rId5"/>
    <sheet name="DS_INTERNAL_SNIP_STORAGE" sheetId="5" state="very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6" i="1" l="1"/>
  <c r="F76" i="1"/>
  <c r="F80" i="6"/>
  <c r="G10" i="6"/>
  <c r="F10" i="6"/>
  <c r="E10" i="6"/>
  <c r="G80" i="6"/>
  <c r="E80" i="6"/>
  <c r="G73" i="6"/>
  <c r="F73" i="6"/>
  <c r="E73" i="6"/>
  <c r="D71" i="6" l="1"/>
  <c r="E71" i="6" s="1"/>
  <c r="D91" i="6"/>
  <c r="D90" i="6"/>
  <c r="D86" i="6"/>
  <c r="D65" i="6"/>
  <c r="D63" i="6" s="1"/>
  <c r="G63" i="6"/>
  <c r="F63" i="6"/>
  <c r="E63" i="6"/>
  <c r="D60" i="6"/>
  <c r="D58" i="6" s="1"/>
  <c r="D54" i="6" s="1"/>
  <c r="D49" i="6" s="1"/>
  <c r="G58" i="6"/>
  <c r="F58" i="6"/>
  <c r="E58" i="6"/>
  <c r="F56" i="6"/>
  <c r="F54" i="6" s="1"/>
  <c r="G54" i="6"/>
  <c r="E54" i="6"/>
  <c r="F52" i="6"/>
  <c r="G52" i="6" s="1"/>
  <c r="F51" i="6"/>
  <c r="E49" i="6"/>
  <c r="F47" i="6"/>
  <c r="G47" i="6" s="1"/>
  <c r="D47" i="6"/>
  <c r="F46" i="6"/>
  <c r="G46" i="6" s="1"/>
  <c r="D46" i="6"/>
  <c r="F45" i="6"/>
  <c r="G45" i="6" s="1"/>
  <c r="D45" i="6"/>
  <c r="F44" i="6"/>
  <c r="G44" i="6" s="1"/>
  <c r="D44" i="6"/>
  <c r="D42" i="6" s="1"/>
  <c r="E42" i="6"/>
  <c r="F40" i="6"/>
  <c r="G40" i="6" s="1"/>
  <c r="F39" i="6"/>
  <c r="G39" i="6" s="1"/>
  <c r="E38" i="6"/>
  <c r="F38" i="6" s="1"/>
  <c r="G38" i="6" s="1"/>
  <c r="E37" i="6"/>
  <c r="F37" i="6" s="1"/>
  <c r="G37" i="6" s="1"/>
  <c r="F36" i="6"/>
  <c r="G36" i="6" s="1"/>
  <c r="F35" i="6"/>
  <c r="G35" i="6" s="1"/>
  <c r="E34" i="6"/>
  <c r="F34" i="6" s="1"/>
  <c r="G34" i="6" s="1"/>
  <c r="F33" i="6"/>
  <c r="G33" i="6" s="1"/>
  <c r="F32" i="6"/>
  <c r="G32" i="6" s="1"/>
  <c r="F31" i="6"/>
  <c r="G31" i="6" s="1"/>
  <c r="E30" i="6"/>
  <c r="F30" i="6" s="1"/>
  <c r="G30" i="6" s="1"/>
  <c r="E29" i="6"/>
  <c r="F29" i="6" s="1"/>
  <c r="G29" i="6" s="1"/>
  <c r="E28" i="6"/>
  <c r="D26" i="6"/>
  <c r="G18" i="6"/>
  <c r="F18" i="6"/>
  <c r="E18" i="6"/>
  <c r="D18" i="6"/>
  <c r="A18" i="6"/>
  <c r="D16" i="6"/>
  <c r="D14" i="6" s="1"/>
  <c r="G14" i="6"/>
  <c r="F14" i="6"/>
  <c r="E14" i="6"/>
  <c r="D10" i="6"/>
  <c r="D4" i="6"/>
  <c r="G22" i="6" l="1"/>
  <c r="F22" i="6"/>
  <c r="D22" i="6"/>
  <c r="G42" i="6"/>
  <c r="F49" i="6"/>
  <c r="G51" i="6"/>
  <c r="G49" i="6" s="1"/>
  <c r="E22" i="6"/>
  <c r="D67" i="6"/>
  <c r="E26" i="6"/>
  <c r="E67" i="6" s="1"/>
  <c r="F28" i="6"/>
  <c r="F42" i="6"/>
  <c r="D69" i="6" l="1"/>
  <c r="E69" i="6"/>
  <c r="E86" i="6" s="1"/>
  <c r="F26" i="6"/>
  <c r="F67" i="6" s="1"/>
  <c r="F69" i="6" s="1"/>
  <c r="G28" i="6"/>
  <c r="G26" i="6" s="1"/>
  <c r="G67" i="6" s="1"/>
  <c r="G69" i="6" s="1"/>
  <c r="F71" i="6" l="1"/>
  <c r="F86" i="6" s="1"/>
  <c r="G71" i="6" l="1"/>
  <c r="G86" i="6" s="1"/>
  <c r="E76" i="1" l="1"/>
  <c r="D98" i="1"/>
  <c r="D96" i="1"/>
  <c r="E72" i="1"/>
  <c r="G45" i="1"/>
  <c r="F45" i="1"/>
  <c r="E31" i="1"/>
  <c r="F10" i="1"/>
  <c r="G10" i="1"/>
  <c r="E10" i="1"/>
  <c r="F44" i="1"/>
  <c r="G44" i="1" s="1"/>
  <c r="F49" i="1"/>
  <c r="G49" i="1" s="1"/>
  <c r="F50" i="1"/>
  <c r="G50" i="1"/>
  <c r="F51" i="1"/>
  <c r="G51" i="1" s="1"/>
  <c r="F52" i="1"/>
  <c r="G52" i="1" s="1"/>
  <c r="E33" i="1"/>
  <c r="G59" i="1"/>
  <c r="E59" i="1"/>
  <c r="E54" i="1"/>
  <c r="F57" i="1" l="1"/>
  <c r="G57" i="1" s="1"/>
  <c r="F56" i="1"/>
  <c r="F61" i="1"/>
  <c r="F59" i="1" s="1"/>
  <c r="E39" i="1"/>
  <c r="E43" i="1"/>
  <c r="G56" i="1" l="1"/>
  <c r="G54" i="1" s="1"/>
  <c r="F54" i="1"/>
  <c r="F38" i="1" l="1"/>
  <c r="G38" i="1" s="1"/>
  <c r="F43" i="1"/>
  <c r="G43" i="1" s="1"/>
  <c r="E42" i="1"/>
  <c r="F42" i="1" s="1"/>
  <c r="G42" i="1" s="1"/>
  <c r="E35" i="1"/>
  <c r="E34" i="1"/>
  <c r="F41" i="1"/>
  <c r="G41" i="1" s="1"/>
  <c r="F40" i="1" l="1"/>
  <c r="G40" i="1" s="1"/>
  <c r="F33" i="1"/>
  <c r="F39" i="1"/>
  <c r="G39" i="1" s="1"/>
  <c r="F37" i="1"/>
  <c r="G37" i="1" s="1"/>
  <c r="F36" i="1"/>
  <c r="G36" i="1" s="1"/>
  <c r="F35" i="1"/>
  <c r="G35" i="1" s="1"/>
  <c r="D76" i="1"/>
  <c r="F63" i="1"/>
  <c r="G63" i="1"/>
  <c r="E63" i="1"/>
  <c r="F68" i="1"/>
  <c r="G68" i="1"/>
  <c r="E68" i="1"/>
  <c r="G47" i="1"/>
  <c r="F47" i="1"/>
  <c r="E47" i="1"/>
  <c r="G33" i="1" l="1"/>
  <c r="F34" i="1"/>
  <c r="G34" i="1" s="1"/>
  <c r="D65" i="1"/>
  <c r="D63" i="1" s="1"/>
  <c r="D59" i="1" s="1"/>
  <c r="D54" i="1" s="1"/>
  <c r="G31" i="1" l="1"/>
  <c r="F31" i="1"/>
  <c r="F72" i="1" s="1"/>
  <c r="G72" i="1"/>
  <c r="D70" i="1"/>
  <c r="F22" i="1" l="1"/>
  <c r="E18" i="1"/>
  <c r="E22" i="1"/>
  <c r="G22" i="1"/>
  <c r="A22" i="1"/>
  <c r="D22" i="1"/>
  <c r="G18" i="1"/>
  <c r="G27" i="1" l="1"/>
  <c r="E27" i="1"/>
  <c r="E74" i="1" s="1"/>
  <c r="G74" i="1" l="1"/>
  <c r="D81" i="1"/>
  <c r="D80" i="1"/>
  <c r="D20" i="1" l="1"/>
  <c r="D68" i="1" l="1"/>
  <c r="D51" i="1"/>
  <c r="D49" i="1"/>
  <c r="D18" i="1"/>
  <c r="D10" i="1" l="1"/>
  <c r="D50" i="1" l="1"/>
  <c r="D52" i="1"/>
  <c r="F18" i="1" l="1"/>
  <c r="D47" i="1"/>
  <c r="F27" i="1" l="1"/>
  <c r="F74" i="1" s="1"/>
  <c r="D27" i="1"/>
  <c r="D31" i="1" l="1"/>
  <c r="D72" i="1" s="1"/>
  <c r="D74" i="1" s="1"/>
  <c r="D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tc={4E31D159-078D-4720-A6AE-484F4AA266EC}</author>
    <author>tc={FE3D120D-CB63-4E16-90D4-7BD5EF76B0A8}</author>
    <author>tc={60CADB90-B37F-4690-992F-02D46267819E}</author>
    <author>tc={18AD93FD-2C4D-4248-B143-52B7501650AB}</author>
    <author>tc={2B89781C-E0B5-43B5-855D-E1C2BB44F1E9}</author>
    <author>tc={4E058BE5-01C1-4B48-8318-37BB2FED0D91}</author>
    <author>tc={8C7ECB8C-FB6C-4DFE-9664-F1908F4071CE}</author>
    <author>tc={48647704-DB63-47FF-BADB-63B43A1C5674}</author>
  </authors>
  <commentList>
    <comment ref="E34" authorId="0" shapeId="0" xr:uid="{4E31D159-078D-4720-A6AE-484F4AA266EC}">
      <text>
        <t>[Threaded comment]
Your version of Excel allows you to read this threaded comment; however, any edits to it will get removed if the file is opened in a newer version of Excel. Learn more: https://go.microsoft.com/fwlink/?linkid=870924
Comment:
    Fatture trimestrali sinora pagate, moltiplicate per 4.</t>
      </text>
    </comment>
    <comment ref="E35" authorId="1" shapeId="0" xr:uid="{FE3D120D-CB63-4E16-90D4-7BD5EF76B0A8}">
      <text>
        <t>[Threaded comment]
Your version of Excel allows you to read this threaded comment; however, any edits to it will get removed if the file is opened in a newer version of Excel. Learn more: https://go.microsoft.com/fwlink/?linkid=870924
Comment:
    V. commento precedente</t>
      </text>
    </comment>
    <comment ref="E36" authorId="2" shapeId="0" xr:uid="{60CADB90-B37F-4690-992F-02D46267819E}">
      <text>
        <t>[Threaded comment]
Your version of Excel allows you to read this threaded comment; however, any edits to it will get removed if the file is opened in a newer version of Excel. Learn more: https://go.microsoft.com/fwlink/?linkid=870924
Comment:
    In base alle fatture annuali ad oggi pagate</t>
      </text>
    </comment>
    <comment ref="E37" authorId="3" shapeId="0" xr:uid="{18AD93FD-2C4D-4248-B143-52B7501650AB}">
      <text>
        <t>[Threaded comment]
Your version of Excel allows you to read this threaded comment; however, any edits to it will get removed if the file is opened in a newer version of Excel. Learn more: https://go.microsoft.com/fwlink/?linkid=870924
Comment:
    Sulla base delle fatture sinora pagate, epurate dal costo del primo sopralluogo, + IVA</t>
      </text>
    </comment>
    <comment ref="E38" authorId="4" shapeId="0" xr:uid="{2B89781C-E0B5-43B5-855D-E1C2BB44F1E9}">
      <text>
        <t>[Threaded comment]
Your version of Excel allows you to read this threaded comment; however, any edits to it will get removed if the file is opened in a newer version of Excel. Learn more: https://go.microsoft.com/fwlink/?linkid=870924
Comment:
    Dovrebbe essere (compenso base + 15% spese generali + 4% cassa forense + IVA 22%) ammonta a € 7.222,64. Mettiamo 7.300 per arrotondare.</t>
      </text>
    </comment>
    <comment ref="E40" authorId="5" shapeId="0" xr:uid="{4E058BE5-01C1-4B48-8318-37BB2FED0D91}">
      <text>
        <t>[Threaded comment]
Your version of Excel allows you to read this threaded comment; however, any edits to it will get removed if the file is opened in a newer version of Excel. Learn more: https://go.microsoft.com/fwlink/?linkid=870924
Comment:
    Sulla base del contratto di polizza. Arrotondiamo a 60k</t>
      </text>
    </comment>
    <comment ref="E41" authorId="6" shapeId="0" xr:uid="{8C7ECB8C-FB6C-4DFE-9664-F1908F4071CE}">
      <text>
        <t>[Threaded comment]
Your version of Excel allows you to read this threaded comment; however, any edits to it will get removed if the file is opened in a newer version of Excel. Learn more: https://go.microsoft.com/fwlink/?linkid=870924
Comment:
    Eliminati i compensi dei referenti ministeriali</t>
      </text>
    </comment>
    <comment ref="E43" authorId="7" shapeId="0" xr:uid="{48647704-DB63-47FF-BADB-63B43A1C5674}">
      <text>
        <t>[Threaded comment]
Your version of Excel allows you to read this threaded comment; however, any edits to it will get removed if the file is opened in a newer version of Excel. Learn more: https://go.microsoft.com/fwlink/?linkid=870924
Comment:
    V. fattura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tc={75A399AB-6E8B-4072-89B4-A594D7CCC9BA}</author>
    <author>tc={07F0880D-60F5-4569-85C7-EE040F067CA3}</author>
    <author>tc={749B7CC9-99D4-4C90-997E-4787C2689E64}</author>
    <author>tc={B2E934B2-07DC-43AC-B413-9D6A5C9EAE4F}</author>
    <author>tc={3B022AA0-CC38-4013-B815-3E9556463346}</author>
    <author>tc={2355B750-BA24-4C2E-91E4-6411FD7850E5}</author>
    <author>tc={2651DC87-5D2E-452C-B482-680904254E9A}</author>
    <author>tc={67B08169-E570-43FD-B500-0059E6DE7901}</author>
  </authors>
  <commentList>
    <comment ref="E29" authorId="0" shapeId="0" xr:uid="{75A399AB-6E8B-4072-89B4-A594D7CCC9BA}">
      <text>
        <t>[Threaded comment]
Your version of Excel allows you to read this threaded comment; however, any edits to it will get removed if the file is opened in a newer version of Excel. Learn more: https://go.microsoft.com/fwlink/?linkid=870924
Comment:
    Fatture trimestrali sinora pagate, moltiplicate per 4.</t>
      </text>
    </comment>
    <comment ref="E30" authorId="1" shapeId="0" xr:uid="{07F0880D-60F5-4569-85C7-EE040F067CA3}">
      <text>
        <t>[Threaded comment]
Your version of Excel allows you to read this threaded comment; however, any edits to it will get removed if the file is opened in a newer version of Excel. Learn more: https://go.microsoft.com/fwlink/?linkid=870924
Comment:
    V. commento precedente</t>
      </text>
    </comment>
    <comment ref="E31" authorId="2" shapeId="0" xr:uid="{749B7CC9-99D4-4C90-997E-4787C2689E64}">
      <text>
        <t>[Threaded comment]
Your version of Excel allows you to read this threaded comment; however, any edits to it will get removed if the file is opened in a newer version of Excel. Learn more: https://go.microsoft.com/fwlink/?linkid=870924
Comment:
    In base alle fatture annuali ad oggi pagate</t>
      </text>
    </comment>
    <comment ref="E32" authorId="3" shapeId="0" xr:uid="{B2E934B2-07DC-43AC-B413-9D6A5C9EAE4F}">
      <text>
        <t>[Threaded comment]
Your version of Excel allows you to read this threaded comment; however, any edits to it will get removed if the file is opened in a newer version of Excel. Learn more: https://go.microsoft.com/fwlink/?linkid=870924
Comment:
    Sulla base delle fatture sinora pagate, epurate dal costo del primo sopralluogo, + IVA</t>
      </text>
    </comment>
    <comment ref="E33" authorId="4" shapeId="0" xr:uid="{3B022AA0-CC38-4013-B815-3E9556463346}">
      <text>
        <t>[Threaded comment]
Your version of Excel allows you to read this threaded comment; however, any edits to it will get removed if the file is opened in a newer version of Excel. Learn more: https://go.microsoft.com/fwlink/?linkid=870924
Comment:
    Dovrebbe essere (compenso base + 15% spese generali + 4% cassa forense + IVA 22%) ammonta a € 7.222,64. Mettiamo 7.300 per arrotondare.</t>
      </text>
    </comment>
    <comment ref="E35" authorId="5" shapeId="0" xr:uid="{2355B750-BA24-4C2E-91E4-6411FD7850E5}">
      <text>
        <t>[Threaded comment]
Your version of Excel allows you to read this threaded comment; however, any edits to it will get removed if the file is opened in a newer version of Excel. Learn more: https://go.microsoft.com/fwlink/?linkid=870924
Comment:
    Sulla base del contratto di polizza. Arrotondiamo a 60k</t>
      </text>
    </comment>
    <comment ref="E36" authorId="6" shapeId="0" xr:uid="{2651DC87-5D2E-452C-B482-680904254E9A}">
      <text>
        <t>[Threaded comment]
Your version of Excel allows you to read this threaded comment; however, any edits to it will get removed if the file is opened in a newer version of Excel. Learn more: https://go.microsoft.com/fwlink/?linkid=870924
Comment:
    Eliminati i compensi dei referenti ministeriali</t>
      </text>
    </comment>
    <comment ref="E38" authorId="7" shapeId="0" xr:uid="{67B08169-E570-43FD-B500-0059E6DE7901}">
      <text>
        <t>[Threaded comment]
Your version of Excel allows you to read this threaded comment; however, any edits to it will get removed if the file is opened in a newer version of Excel. Learn more: https://go.microsoft.com/fwlink/?linkid=870924
Comment:
    V. fattura</t>
      </text>
    </comment>
  </commentList>
</comments>
</file>

<file path=xl/sharedStrings.xml><?xml version="1.0" encoding="utf-8"?>
<sst xmlns="http://schemas.openxmlformats.org/spreadsheetml/2006/main" count="171" uniqueCount="82">
  <si>
    <t xml:space="preserve">Business 
Plan </t>
  </si>
  <si>
    <t>Forecast (Annuale)</t>
  </si>
  <si>
    <t>Forecast</t>
  </si>
  <si>
    <t>Anno</t>
  </si>
  <si>
    <t>Componenti positivi</t>
  </si>
  <si>
    <t>Proventi da quote associative e apporti dei fondatori (promotori e partecipanti)</t>
  </si>
  <si>
    <t xml:space="preserve">Ricavi per prestazioni e cessioni a terzi </t>
  </si>
  <si>
    <t>Ricerca commissionata da PA, CE, Privati</t>
  </si>
  <si>
    <t>Rimborsi e Contributi da enti pubblici</t>
  </si>
  <si>
    <t>Totale componenti positivi</t>
  </si>
  <si>
    <t>Componenti negativi</t>
  </si>
  <si>
    <t>Servizi, consulenze e collaborazioni</t>
  </si>
  <si>
    <t>Servizi di assistenza professionale, consulenza societaria e payroll</t>
  </si>
  <si>
    <t>La voce contiene 5K (oltre iva e cassa) per payroll (in ipotesi di buste paga per 4 dipendenti e 7 amministratori). Quindi 35k imponibile + Iva e cassa.</t>
  </si>
  <si>
    <t>Servizio di supporto continuativo al RUP e formazione</t>
  </si>
  <si>
    <t>Ripreso valore sulla base dei costi sostenuti nei precedenti esercizi</t>
  </si>
  <si>
    <t>Incarico per Responsabile della Protezione dei Dati Personali/Consulenza Privacy</t>
  </si>
  <si>
    <t>Incarico Medico competente e sorveglianza sanitaria</t>
  </si>
  <si>
    <t>Contratto Sicurezza nei luoghi di lavoro Gestione Sicurezza</t>
  </si>
  <si>
    <t>Nel 2024 il costo era comprensivo del I sopralluogo e della predisposizione del DVR, il costo annuale dovrebbe essere di 600 euro + iva</t>
  </si>
  <si>
    <t>Modello di Organizzazione, Gestione e Controllo - MOG</t>
  </si>
  <si>
    <t>Aggiornato</t>
  </si>
  <si>
    <t>Incarico per assistenza legale</t>
  </si>
  <si>
    <t>Imponibile 35k + IVA e cassa</t>
  </si>
  <si>
    <t>Polizza assicurativa</t>
  </si>
  <si>
    <t>Ripreso valore da file Affidamenti - Aggiornato a 60K</t>
  </si>
  <si>
    <t>Emolumenti amministratori (compreso contributi previdenziali e assistenziali)</t>
  </si>
  <si>
    <t>Collegio dei revisori</t>
  </si>
  <si>
    <t>ODV</t>
  </si>
  <si>
    <t>Software house per SIOPE+</t>
  </si>
  <si>
    <t>1500, oltre IVA</t>
  </si>
  <si>
    <t>Formazione sicurezza lavoratori</t>
  </si>
  <si>
    <t>Personale</t>
  </si>
  <si>
    <t>Programme Manager FT - RAL</t>
  </si>
  <si>
    <t>Dipendenti Gestionali 3 - VII liv. Full time RAL</t>
  </si>
  <si>
    <t>Programme Manager FT - Contributi e TFR</t>
  </si>
  <si>
    <t>Dipendenti Gestionali 3 - VII Contributi e TFR</t>
  </si>
  <si>
    <t>Oneri diversi di gestione</t>
  </si>
  <si>
    <t>Spese per trasferte, eventi e rappresentanza</t>
  </si>
  <si>
    <t>Ammortamenti</t>
  </si>
  <si>
    <t>Spese per attività scientifica</t>
  </si>
  <si>
    <t>Uscite PON</t>
  </si>
  <si>
    <t xml:space="preserve">per il 26 e il 28: 48.750 linea 1 SUNS; 37.650 linea 1 Quantum; 47.500 linea 2 SUNS; 6,250 linea 3 SUNS; 10.000 linea 3 Quantum. Per il 2027 moltiplicare per 2 </t>
  </si>
  <si>
    <t>Uscite premialità (10% 2027; 30% 2028)</t>
  </si>
  <si>
    <t xml:space="preserve">Imposte esercizio </t>
  </si>
  <si>
    <t>IRAP</t>
  </si>
  <si>
    <t>Totale componenti negativi</t>
  </si>
  <si>
    <t>Risultato di gestione</t>
  </si>
  <si>
    <t>Fondo di gestione e riserve (al 31.12)</t>
  </si>
  <si>
    <r>
      <rPr>
        <b/>
        <sz val="10"/>
        <color rgb="FFFF0000"/>
        <rFont val="Arial"/>
        <family val="2"/>
      </rPr>
      <t xml:space="preserve">Fondo di gestione e riserve al 31.12.2026 (668.999,81) </t>
    </r>
    <r>
      <rPr>
        <sz val="10"/>
        <color rgb="FFFF0000"/>
        <rFont val="Arial"/>
        <family val="2"/>
      </rPr>
      <t>= Risultato di gestione 2026 (-715.506,20) +  Fondo e riserve a fine 2025 (1.184.506) (calcolato moltiplicando per 2 il dato disponibile al 30.6.2025) + valore delle quote associative e apporti dei fondatori raccolti nell'anno (200.000) e rimborsi e contributi da enti pubblici (181.546,81)</t>
    </r>
    <r>
      <rPr>
        <sz val="10"/>
        <color theme="1"/>
        <rFont val="Arial"/>
        <family val="2"/>
      </rPr>
      <t xml:space="preserve">
Fondo e riserve a fine 2025 (1.184.506) = Risultato di gestione previsto a fine 2025 (-751.430) + Fondo e riserve al 31.12.2024 (1.935.936)</t>
    </r>
  </si>
  <si>
    <t>Risultato di gestione 2027 + 
Fondo e riserve a fine 2026 + quote associative e apporti dei fondatori raccolti nell'anno e rimborsi e contributi da enti pubblici</t>
  </si>
  <si>
    <t>Risultato di gestione 2028 + 
Fondo e riserve a fine 2027 + quote associative e apporti dei fondatori raccolti nell'anno e rimborsi e contributi da enti pubblici</t>
  </si>
  <si>
    <t>Rimborsi e contributi dal MUR - entrate</t>
  </si>
  <si>
    <t>Trasferimenti ai Partner degli anticipi/rimborsi MUR - uscite</t>
  </si>
  <si>
    <t>Contributi da progetti MUR (ad oggi,PON)</t>
  </si>
  <si>
    <t>per il 26 e il 28: (48.750 linea 1 SUNS; 37.650 linea 1 Quantum; 23.750 linea 2 suns; 3.125 linea 3 suns; 5000 linea 3 quantum). Per il 27 moltiplicare per 2</t>
  </si>
  <si>
    <t>Continuto di solidarietà PON (hp. 50% soci e 50% non soci)</t>
  </si>
  <si>
    <t>126,543,61</t>
  </si>
  <si>
    <t xml:space="preserve">253.087,22 (andamento costante): 143.500 per SUNS (comunicato da capofila, come da piattaforma) + 101.898,3 su linea 1 Quantum (50% soci e 50% non soci) + 7.688,92 su line a2 Quantum (50% soci e 50% non soci) </t>
  </si>
  <si>
    <t>DM 398/2025 (min. 10 punti, hp. incasso nel 2028)</t>
  </si>
  <si>
    <t xml:space="preserve"> </t>
  </si>
  <si>
    <t>Fondo di gestione e riserve (al 01.01)</t>
  </si>
  <si>
    <t>Quote associative e apporti dei fondatori</t>
  </si>
  <si>
    <t>20 Università a 5k annuali</t>
  </si>
  <si>
    <t>6 Grandi imprese a 10k annuali</t>
  </si>
  <si>
    <t>5 Medie imprese a 5k annuali</t>
  </si>
  <si>
    <t>5 Piccole Imprese a 3k annuali</t>
  </si>
  <si>
    <t>JQXWXD0KKAH7S7PP591VPE17BXEPWJ89BRW8AGHJ1EQG2DXX5850</t>
  </si>
  <si>
    <t>Marco Tarasco</t>
  </si>
  <si>
    <t>Create</t>
  </si>
  <si>
    <t>9e0e8340-dd8a-4c88-b7c4-2d1dd1c08b3e</t>
  </si>
  <si>
    <t>{"id":"9e0e8340-dd8a-4c88-b7c4-2d1dd1c08b3e","type":1,"name":"workbookId","value":"7cf937dc-41d9-4cd6-98f3-de069f97573d"}</t>
  </si>
  <si>
    <t>ca7383eb-6606-4cf9-b21b-44fbeab87012</t>
  </si>
  <si>
    <t>{"id":"ca7383eb-6606-4cf9-b21b-44fbeab87012","type":0,"name":"dataSnipperSheetDeleted","value":"false"}</t>
  </si>
  <si>
    <t>732c191c-8a5b-47ba-9f47-c6fbe1a577c0</t>
  </si>
  <si>
    <t>{"id":"732c191c-8a5b-47ba-9f47-c6fbe1a577c0","type":0,"name":"embed-documents","value":"true"}</t>
  </si>
  <si>
    <t>dd290c56-457a-427b-a50e-6206dad2f916</t>
  </si>
  <si>
    <t>{"id":"dd290c56-457a-427b-a50e-6206dad2f916","type":0,"name":"table-snip-suggestions","value":"true"}</t>
  </si>
  <si>
    <t>d7f275fc-9b46-4eb5-81b5-5fb23c4c8942</t>
  </si>
  <si>
    <t>{"id":"d7f275fc-9b46-4eb5-81b5-5fb23c4c8942","type":1,"name":"migratedFssProjectId","value":""}</t>
  </si>
  <si>
    <t>4e7742d3-a0d5-4ebe-bd76-b9522d2be8dc</t>
  </si>
  <si>
    <t>{"id":"4e7742d3-a0d5-4ebe-bd76-b9522d2be8dc","type":1,"name":"migratedFssProjectPath","value":""}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</si>
</sst>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;\(#.##0\);\-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9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9"/>
      <color theme="0"/>
      <name val="Arial"/>
      <family val="2"/>
    </font>
    <font>
      <b/>
      <sz val="16"/>
      <color theme="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379D5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8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34998626667073579"/>
        <bgColor indexed="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3">
    <xf numFmtId="0" fontId="0" fillId="0" borderId="0" xfId="0"/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4" fontId="1" fillId="9" borderId="0" xfId="0" applyNumberFormat="1" applyFont="1" applyFill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/>
    </xf>
    <xf numFmtId="1" fontId="9" fillId="7" borderId="0" xfId="0" applyNumberFormat="1" applyFont="1" applyFill="1" applyAlignment="1">
      <alignment horizontal="right" vertical="center" wrapText="1"/>
    </xf>
    <xf numFmtId="4" fontId="10" fillId="2" borderId="5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2" fillId="11" borderId="12" xfId="0" applyNumberFormat="1" applyFont="1" applyFill="1" applyBorder="1" applyAlignment="1">
      <alignment horizontal="center" vertical="center"/>
    </xf>
    <xf numFmtId="4" fontId="2" fillId="11" borderId="14" xfId="0" applyNumberFormat="1" applyFont="1" applyFill="1" applyBorder="1" applyAlignment="1">
      <alignment horizontal="center" vertical="center"/>
    </xf>
    <xf numFmtId="4" fontId="2" fillId="11" borderId="13" xfId="0" applyNumberFormat="1" applyFont="1" applyFill="1" applyBorder="1" applyAlignment="1">
      <alignment horizontal="center" vertical="center"/>
    </xf>
    <xf numFmtId="4" fontId="2" fillId="11" borderId="1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4" fontId="2" fillId="9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6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3" borderId="3" xfId="0" applyFont="1" applyFill="1" applyBorder="1" applyAlignment="1">
      <alignment vertical="center"/>
    </xf>
    <xf numFmtId="164" fontId="8" fillId="5" borderId="0" xfId="0" applyNumberFormat="1" applyFont="1" applyFill="1" applyAlignment="1">
      <alignment horizontal="left" vertical="center" wrapText="1"/>
    </xf>
    <xf numFmtId="164" fontId="9" fillId="7" borderId="0" xfId="0" applyNumberFormat="1" applyFont="1" applyFill="1" applyAlignment="1">
      <alignment horizontal="left" vertical="center" wrapText="1"/>
    </xf>
    <xf numFmtId="0" fontId="1" fillId="9" borderId="0" xfId="0" applyFont="1" applyFill="1" applyAlignment="1">
      <alignment vertical="center"/>
    </xf>
    <xf numFmtId="164" fontId="13" fillId="5" borderId="0" xfId="0" applyNumberFormat="1" applyFont="1" applyFill="1" applyAlignment="1">
      <alignment horizontal="left" vertical="center" wrapText="1"/>
    </xf>
    <xf numFmtId="1" fontId="8" fillId="5" borderId="0" xfId="0" applyNumberFormat="1" applyFont="1" applyFill="1" applyAlignment="1">
      <alignment horizontal="right" vertical="center" wrapText="1"/>
    </xf>
    <xf numFmtId="164" fontId="8" fillId="2" borderId="0" xfId="0" applyNumberFormat="1" applyFont="1" applyFill="1" applyAlignment="1">
      <alignment horizontal="left" vertical="center" wrapText="1"/>
    </xf>
    <xf numFmtId="164" fontId="9" fillId="9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1" fontId="9" fillId="8" borderId="0" xfId="0" applyNumberFormat="1" applyFont="1" applyFill="1" applyAlignment="1">
      <alignment horizontal="left" vertical="center" wrapText="1"/>
    </xf>
    <xf numFmtId="1" fontId="1" fillId="9" borderId="0" xfId="0" applyNumberFormat="1" applyFont="1" applyFill="1" applyAlignment="1">
      <alignment vertical="center"/>
    </xf>
    <xf numFmtId="1" fontId="9" fillId="5" borderId="0" xfId="0" applyNumberFormat="1" applyFont="1" applyFill="1" applyAlignment="1">
      <alignment horizontal="right" vertical="center" wrapText="1"/>
    </xf>
    <xf numFmtId="0" fontId="1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1" fontId="9" fillId="6" borderId="0" xfId="0" applyNumberFormat="1" applyFont="1" applyFill="1" applyAlignment="1">
      <alignment horizontal="left" vertical="center" wrapText="1"/>
    </xf>
    <xf numFmtId="0" fontId="2" fillId="11" borderId="8" xfId="0" applyFont="1" applyFill="1" applyBorder="1" applyAlignment="1">
      <alignment vertical="center"/>
    </xf>
    <xf numFmtId="0" fontId="2" fillId="11" borderId="9" xfId="0" applyFont="1" applyFill="1" applyBorder="1" applyAlignment="1">
      <alignment vertical="center"/>
    </xf>
    <xf numFmtId="0" fontId="2" fillId="11" borderId="10" xfId="0" applyFont="1" applyFill="1" applyBorder="1" applyAlignment="1">
      <alignment vertical="center"/>
    </xf>
    <xf numFmtId="0" fontId="2" fillId="11" borderId="1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5" fillId="3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vertical="center"/>
    </xf>
    <xf numFmtId="0" fontId="5" fillId="3" borderId="3" xfId="0" applyFont="1" applyFill="1" applyBorder="1" applyAlignment="1">
      <alignment vertical="center" wrapText="1"/>
    </xf>
    <xf numFmtId="4" fontId="1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/>
    </xf>
    <xf numFmtId="11" fontId="0" fillId="0" borderId="0" xfId="0" applyNumberFormat="1"/>
    <xf numFmtId="3" fontId="1" fillId="0" borderId="0" xfId="0" applyNumberFormat="1" applyFont="1" applyAlignment="1">
      <alignment horizontal="center" vertical="center"/>
    </xf>
    <xf numFmtId="1" fontId="9" fillId="7" borderId="0" xfId="0" applyNumberFormat="1" applyFont="1" applyFill="1" applyAlignment="1">
      <alignment horizontal="right" vertical="top" wrapText="1"/>
    </xf>
    <xf numFmtId="1" fontId="9" fillId="8" borderId="0" xfId="0" applyNumberFormat="1" applyFont="1" applyFill="1" applyAlignment="1">
      <alignment horizontal="left" vertical="top" wrapText="1"/>
    </xf>
    <xf numFmtId="1" fontId="1" fillId="9" borderId="0" xfId="0" applyNumberFormat="1" applyFont="1" applyFill="1"/>
    <xf numFmtId="4" fontId="1" fillId="9" borderId="0" xfId="0" applyNumberFormat="1" applyFont="1" applyFill="1"/>
    <xf numFmtId="0" fontId="1" fillId="2" borderId="0" xfId="0" applyFont="1" applyFill="1"/>
    <xf numFmtId="4" fontId="1" fillId="2" borderId="0" xfId="0" applyNumberFormat="1" applyFont="1" applyFill="1"/>
    <xf numFmtId="0" fontId="16" fillId="2" borderId="0" xfId="0" applyFont="1" applyFill="1"/>
    <xf numFmtId="0" fontId="8" fillId="2" borderId="0" xfId="0" applyFont="1" applyFill="1" applyAlignment="1">
      <alignment vertical="center"/>
    </xf>
    <xf numFmtId="164" fontId="17" fillId="5" borderId="0" xfId="0" applyNumberFormat="1" applyFont="1" applyFill="1" applyAlignment="1">
      <alignment horizontal="left" vertical="center" wrapText="1"/>
    </xf>
    <xf numFmtId="4" fontId="1" fillId="0" borderId="0" xfId="0" applyNumberFormat="1" applyFont="1" applyAlignment="1">
      <alignment horizontal="center" vertical="center"/>
    </xf>
    <xf numFmtId="1" fontId="9" fillId="6" borderId="0" xfId="0" applyNumberFormat="1" applyFont="1" applyFill="1" applyAlignment="1">
      <alignment horizontal="left" vertical="top" wrapText="1"/>
    </xf>
  </cellXfs>
  <cellStyles count="2">
    <cellStyle name="Normale" xfId="0" builtinId="0"/>
    <cellStyle name="Normale 2" xfId="1" xr:uid="{05592C49-A4AB-423D-A17C-BEA89AC8AE93}"/>
  </cellStyles>
  <dxfs count="0"/>
  <tableStyles count="0" defaultTableStyle="TableStyleMedium2" defaultPivotStyle="PivotStyleLight16"/>
  <colors>
    <mruColors>
      <color rgb="FF000000"/>
      <color rgb="FF0379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426720</xdr:colOff>
      <xdr:row>1</xdr:row>
      <xdr:rowOff>106680</xdr:rowOff>
    </xdr:from>
    <xdr:to>
      <xdr:col>1</xdr:col>
      <xdr:colOff>2693035</xdr:colOff>
      <xdr:row>3</xdr:row>
      <xdr:rowOff>39927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E18E77-E170-8945-873B-6A467FE6D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74320"/>
          <a:ext cx="2269490" cy="588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426720</xdr:colOff>
      <xdr:row>1</xdr:row>
      <xdr:rowOff>106680</xdr:rowOff>
    </xdr:from>
    <xdr:to>
      <xdr:col>1</xdr:col>
      <xdr:colOff>2696210</xdr:colOff>
      <xdr:row>3</xdr:row>
      <xdr:rowOff>39927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14A6EF0-235B-47C2-B802-8A9589D4D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870" y="265430"/>
          <a:ext cx="2266315" cy="58412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dele Del Bello" id="{C30B8C8F-A8E1-4659-9580-C8FEC2D46427}" userId="S::adelbello@fondazionerestart.onmicrosoft.com::cf3e7fb6-8f49-4752-98cc-cfdf540f99a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4" dT="2025-09-04T15:46:09.99" personId="{C30B8C8F-A8E1-4659-9580-C8FEC2D46427}" id="{4E31D159-078D-4720-A6AE-484F4AA266EC}">
    <text>Fatture trimestrali sinora pagate, moltiplicate per 4.</text>
  </threadedComment>
  <threadedComment ref="E35" dT="2025-09-04T15:46:25.99" personId="{C30B8C8F-A8E1-4659-9580-C8FEC2D46427}" id="{FE3D120D-CB63-4E16-90D4-7BD5EF76B0A8}">
    <text>V. commento precedente</text>
  </threadedComment>
  <threadedComment ref="E36" dT="2025-09-04T15:47:23.67" personId="{C30B8C8F-A8E1-4659-9580-C8FEC2D46427}" id="{60CADB90-B37F-4690-992F-02D46267819E}">
    <text>In base alle fatture annuali ad oggi pagate</text>
  </threadedComment>
  <threadedComment ref="E37" dT="2025-09-04T15:48:15.20" personId="{C30B8C8F-A8E1-4659-9580-C8FEC2D46427}" id="{18AD93FD-2C4D-4248-B143-52B7501650AB}">
    <text>Sulla base delle fatture sinora pagate, epurate dal costo del primo sopralluogo, + IVA</text>
  </threadedComment>
  <threadedComment ref="E38" dT="2025-09-04T15:49:09.47" personId="{C30B8C8F-A8E1-4659-9580-C8FEC2D46427}" id="{2B89781C-E0B5-43B5-855D-E1C2BB44F1E9}">
    <text>Dovrebbe essere (compenso base + 15% spese generali + 4% cassa forense + IVA 22%) ammonta a € 7.222,64. Mettiamo 7.300 per arrotondare.</text>
  </threadedComment>
  <threadedComment ref="E40" dT="2025-09-04T15:51:34.51" personId="{C30B8C8F-A8E1-4659-9580-C8FEC2D46427}" id="{4E058BE5-01C1-4B48-8318-37BB2FED0D91}">
    <text>Sulla base del contratto di polizza. Arrotondiamo a 60k</text>
  </threadedComment>
  <threadedComment ref="E41" dT="2025-09-04T16:04:23.92" personId="{C30B8C8F-A8E1-4659-9580-C8FEC2D46427}" id="{8C7ECB8C-FB6C-4DFE-9664-F1908F4071CE}">
    <text>Eliminati i compensi dei referenti ministeriali</text>
  </threadedComment>
  <threadedComment ref="E43" dT="2025-09-04T16:06:27.15" personId="{C30B8C8F-A8E1-4659-9580-C8FEC2D46427}" id="{48647704-DB63-47FF-BADB-63B43A1C5674}">
    <text>V. fattura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29" dT="2025-09-04T15:46:09.99" personId="{C30B8C8F-A8E1-4659-9580-C8FEC2D46427}" id="{75A399AB-6E8B-4072-89B4-A594D7CCC9BA}">
    <text>Fatture trimestrali sinora pagate, moltiplicate per 4.</text>
  </threadedComment>
  <threadedComment ref="E30" dT="2025-09-04T15:46:25.99" personId="{C30B8C8F-A8E1-4659-9580-C8FEC2D46427}" id="{07F0880D-60F5-4569-85C7-EE040F067CA3}">
    <text>V. commento precedente</text>
  </threadedComment>
  <threadedComment ref="E31" dT="2025-09-04T15:47:23.67" personId="{C30B8C8F-A8E1-4659-9580-C8FEC2D46427}" id="{749B7CC9-99D4-4C90-997E-4787C2689E64}">
    <text>In base alle fatture annuali ad oggi pagate</text>
  </threadedComment>
  <threadedComment ref="E32" dT="2025-09-04T15:48:15.20" personId="{C30B8C8F-A8E1-4659-9580-C8FEC2D46427}" id="{B2E934B2-07DC-43AC-B413-9D6A5C9EAE4F}">
    <text>Sulla base delle fatture sinora pagate, epurate dal costo del primo sopralluogo, + IVA</text>
  </threadedComment>
  <threadedComment ref="E33" dT="2025-09-04T15:49:09.47" personId="{C30B8C8F-A8E1-4659-9580-C8FEC2D46427}" id="{3B022AA0-CC38-4013-B815-3E9556463346}">
    <text>Dovrebbe essere (compenso base + 15% spese generali + 4% cassa forense + IVA 22%) ammonta a € 7.222,64. Mettiamo 7.300 per arrotondare.</text>
  </threadedComment>
  <threadedComment ref="E35" dT="2025-09-04T15:51:34.51" personId="{C30B8C8F-A8E1-4659-9580-C8FEC2D46427}" id="{2355B750-BA24-4C2E-91E4-6411FD7850E5}">
    <text>Sulla base del contratto di polizza. Arrotondiamo a 60k</text>
  </threadedComment>
  <threadedComment ref="E36" dT="2025-09-04T16:04:23.92" personId="{C30B8C8F-A8E1-4659-9580-C8FEC2D46427}" id="{2651DC87-5D2E-452C-B482-680904254E9A}">
    <text>Eliminati i compensi dei referenti ministeriali</text>
  </threadedComment>
  <threadedComment ref="E38" dT="2025-09-04T16:06:27.15" personId="{C30B8C8F-A8E1-4659-9580-C8FEC2D46427}" id="{67B08169-E570-43FD-B500-0059E6DE7901}">
    <text>V. fattura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FE667-DC09-418F-BCC9-A908C284DBD8}">
  <sheetPr>
    <pageSetUpPr fitToPage="1"/>
  </sheetPr>
  <dimension ref="A1:T98"/>
  <sheetViews>
    <sheetView zoomScaleNormal="100" workbookViewId="0">
      <pane xSplit="2" ySplit="4" topLeftCell="C75" activePane="bottomRight" state="frozen"/>
      <selection pane="bottomRight" activeCell="G77" sqref="G77"/>
      <selection pane="bottomLeft" activeCell="A10" sqref="A10"/>
      <selection pane="topRight" activeCell="C1" sqref="C1"/>
    </sheetView>
  </sheetViews>
  <sheetFormatPr defaultColWidth="8.5703125" defaultRowHeight="12.95" outlineLevelRow="2" outlineLevelCol="1"/>
  <cols>
    <col min="1" max="1" width="2.5703125" style="29" customWidth="1"/>
    <col min="2" max="2" width="58.140625" style="29" bestFit="1" customWidth="1"/>
    <col min="3" max="3" width="15.5703125" style="29" customWidth="1"/>
    <col min="4" max="4" width="17.5703125" style="19" hidden="1" customWidth="1" outlineLevel="1"/>
    <col min="5" max="5" width="17.5703125" style="2" customWidth="1" collapsed="1"/>
    <col min="6" max="7" width="17.5703125" style="2" customWidth="1"/>
    <col min="8" max="9" width="8.5703125" style="29"/>
    <col min="10" max="10" width="44.42578125" style="29" customWidth="1"/>
    <col min="11" max="16384" width="8.5703125" style="29"/>
  </cols>
  <sheetData>
    <row r="1" spans="1:10" s="24" customFormat="1">
      <c r="D1" s="17"/>
      <c r="E1" s="1"/>
      <c r="F1" s="1"/>
      <c r="G1" s="1"/>
    </row>
    <row r="2" spans="1:10" s="25" customFormat="1" ht="38.450000000000003" customHeight="1">
      <c r="C2" s="53" t="s">
        <v>0</v>
      </c>
      <c r="D2" s="18" t="s">
        <v>1</v>
      </c>
      <c r="E2" s="3" t="s">
        <v>2</v>
      </c>
      <c r="F2" s="3" t="s">
        <v>2</v>
      </c>
      <c r="G2" s="3" t="s">
        <v>2</v>
      </c>
    </row>
    <row r="3" spans="1:10" s="24" customFormat="1">
      <c r="D3" s="17"/>
      <c r="E3" s="1"/>
      <c r="F3" s="1"/>
      <c r="G3" s="1"/>
    </row>
    <row r="4" spans="1:10" s="24" customFormat="1">
      <c r="C4" s="24" t="s">
        <v>3</v>
      </c>
      <c r="D4" s="17" t="e">
        <f>+YEAR(#REF!)</f>
        <v>#REF!</v>
      </c>
      <c r="E4" s="1">
        <v>2026</v>
      </c>
      <c r="F4" s="1">
        <v>2027</v>
      </c>
      <c r="G4" s="1">
        <v>2028</v>
      </c>
    </row>
    <row r="6" spans="1:10" s="27" customFormat="1" ht="18">
      <c r="A6" s="26" t="s">
        <v>4</v>
      </c>
      <c r="D6" s="4"/>
      <c r="E6" s="4"/>
      <c r="F6" s="4"/>
      <c r="G6" s="4"/>
    </row>
    <row r="7" spans="1:10">
      <c r="A7" s="28"/>
    </row>
    <row r="8" spans="1:10" s="28" customFormat="1">
      <c r="A8" s="29"/>
      <c r="B8" s="30" t="s">
        <v>4</v>
      </c>
      <c r="D8" s="20"/>
      <c r="E8" s="5"/>
      <c r="F8" s="5"/>
      <c r="G8" s="5"/>
    </row>
    <row r="9" spans="1:10" outlineLevel="1">
      <c r="B9" s="31"/>
      <c r="D9" s="21"/>
      <c r="E9" s="6"/>
      <c r="F9" s="6"/>
      <c r="G9" s="6"/>
    </row>
    <row r="10" spans="1:10" s="33" customFormat="1" ht="28.7" customHeight="1" outlineLevel="1">
      <c r="A10" s="10">
        <v>1</v>
      </c>
      <c r="B10" s="32" t="s">
        <v>5</v>
      </c>
      <c r="C10" s="54"/>
      <c r="D10" s="22">
        <f t="shared" ref="D10" si="0">+SUM(D14:D15)</f>
        <v>0</v>
      </c>
      <c r="E10" s="22">
        <f>SUM(E12:E15)</f>
        <v>0</v>
      </c>
      <c r="F10" s="22">
        <f t="shared" ref="F10:G10" si="1">SUM(F12:F15)</f>
        <v>0</v>
      </c>
      <c r="G10" s="22">
        <f t="shared" si="1"/>
        <v>0</v>
      </c>
    </row>
    <row r="11" spans="1:10" outlineLevel="2">
      <c r="B11" s="34"/>
      <c r="D11" s="23"/>
      <c r="E11" s="6"/>
      <c r="F11" s="6"/>
      <c r="G11" s="6"/>
    </row>
    <row r="12" spans="1:10" outlineLevel="2">
      <c r="B12" s="70"/>
      <c r="D12" s="23"/>
      <c r="E12" s="6"/>
      <c r="F12" s="6"/>
      <c r="G12" s="6"/>
    </row>
    <row r="13" spans="1:10" outlineLevel="2">
      <c r="B13" s="70"/>
      <c r="D13" s="23"/>
      <c r="E13" s="6"/>
      <c r="F13" s="6"/>
      <c r="G13" s="6"/>
    </row>
    <row r="14" spans="1:10" outlineLevel="2">
      <c r="B14" s="31"/>
      <c r="D14" s="21"/>
      <c r="E14" s="6"/>
      <c r="F14" s="6"/>
      <c r="G14" s="6"/>
      <c r="J14" s="51"/>
    </row>
    <row r="15" spans="1:10" outlineLevel="2">
      <c r="B15" s="31"/>
      <c r="D15" s="21"/>
      <c r="E15" s="6"/>
      <c r="F15" s="6"/>
      <c r="G15" s="6"/>
    </row>
    <row r="16" spans="1:10" outlineLevel="2">
      <c r="B16" s="31"/>
      <c r="D16" s="21"/>
      <c r="E16" s="6"/>
      <c r="F16" s="6"/>
      <c r="G16" s="6"/>
    </row>
    <row r="17" spans="1:20" outlineLevel="2">
      <c r="B17" s="31"/>
      <c r="D17" s="21"/>
      <c r="E17" s="6"/>
      <c r="F17" s="6"/>
      <c r="G17" s="6"/>
    </row>
    <row r="18" spans="1:20" s="33" customFormat="1" outlineLevel="1">
      <c r="A18" s="10">
        <v>2</v>
      </c>
      <c r="B18" s="37" t="s">
        <v>6</v>
      </c>
      <c r="D18" s="22" t="e">
        <f t="shared" ref="D18:G18" si="2">+SUM(D20:D20)</f>
        <v>#REF!</v>
      </c>
      <c r="E18" s="22">
        <f t="shared" si="2"/>
        <v>0</v>
      </c>
      <c r="F18" s="22">
        <f t="shared" si="2"/>
        <v>0</v>
      </c>
      <c r="G18" s="22">
        <f t="shared" si="2"/>
        <v>0</v>
      </c>
    </row>
    <row r="19" spans="1:20" outlineLevel="2">
      <c r="A19" s="35"/>
      <c r="B19" s="36"/>
      <c r="D19" s="21"/>
      <c r="E19" s="6"/>
      <c r="F19" s="6"/>
      <c r="G19" s="6"/>
    </row>
    <row r="20" spans="1:20" outlineLevel="2">
      <c r="B20" s="36" t="s">
        <v>7</v>
      </c>
      <c r="D20" s="21" t="e">
        <f>+SUM(#REF!)</f>
        <v>#REF!</v>
      </c>
      <c r="E20" s="6">
        <v>0</v>
      </c>
      <c r="F20" s="6">
        <v>0</v>
      </c>
      <c r="G20" s="6">
        <v>0</v>
      </c>
    </row>
    <row r="21" spans="1:20" outlineLevel="2">
      <c r="A21" s="35"/>
      <c r="B21" s="36"/>
      <c r="D21" s="21"/>
      <c r="E21" s="6"/>
      <c r="F21" s="6"/>
      <c r="G21" s="6"/>
    </row>
    <row r="22" spans="1:20" s="33" customFormat="1" outlineLevel="1">
      <c r="A22" s="10">
        <f>+A18+1</f>
        <v>3</v>
      </c>
      <c r="B22" s="37" t="s">
        <v>8</v>
      </c>
      <c r="D22" s="22" t="e">
        <f>+SUM(#REF!)</f>
        <v>#REF!</v>
      </c>
      <c r="E22" s="22">
        <f>SUM(E23:E25)</f>
        <v>0</v>
      </c>
      <c r="F22" s="22">
        <f>SUM(F23:F25)</f>
        <v>0</v>
      </c>
      <c r="G22" s="22">
        <f>SUM(G23:G25)</f>
        <v>0</v>
      </c>
    </row>
    <row r="23" spans="1:20" s="51" customFormat="1" outlineLevel="2">
      <c r="A23" s="29"/>
      <c r="B23" s="36"/>
      <c r="C23" s="29"/>
      <c r="D23" s="21"/>
      <c r="E23" s="6"/>
      <c r="F23" s="6"/>
      <c r="G23" s="6"/>
      <c r="H23" s="6"/>
      <c r="I23" s="6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s="51" customFormat="1" outlineLevel="2">
      <c r="A24" s="29"/>
      <c r="B24" s="36"/>
      <c r="C24" s="29"/>
      <c r="D24" s="21"/>
      <c r="E24" s="6"/>
      <c r="F24" s="6"/>
      <c r="G24" s="6"/>
      <c r="H24" s="6"/>
      <c r="I24" s="6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outlineLevel="2">
      <c r="B25" s="36"/>
      <c r="D25" s="21"/>
      <c r="E25" s="6"/>
      <c r="F25" s="6"/>
      <c r="G25" s="6"/>
    </row>
    <row r="26" spans="1:20" outlineLevel="2">
      <c r="D26" s="21"/>
      <c r="E26" s="6"/>
      <c r="F26" s="6"/>
      <c r="G26" s="6"/>
    </row>
    <row r="27" spans="1:20" s="39" customFormat="1">
      <c r="A27" s="38"/>
      <c r="B27" s="30" t="s">
        <v>9</v>
      </c>
      <c r="D27" s="8" t="e">
        <f>+D10+#REF!+#REF!+#REF!+#REF!+#REF!+#REF!+D18+D22+#REF!+#REF!+#REF!</f>
        <v>#REF!</v>
      </c>
      <c r="E27" s="8">
        <f>SUM(E22,E18,E10)</f>
        <v>0</v>
      </c>
      <c r="F27" s="8">
        <f t="shared" ref="F27:G27" si="3">SUM(F22,F18,F10)</f>
        <v>0</v>
      </c>
      <c r="G27" s="8">
        <f t="shared" si="3"/>
        <v>0</v>
      </c>
    </row>
    <row r="28" spans="1:20">
      <c r="D28" s="21"/>
      <c r="E28" s="6"/>
      <c r="F28" s="6"/>
      <c r="G28" s="6"/>
    </row>
    <row r="29" spans="1:20" s="28" customFormat="1">
      <c r="A29" s="29"/>
      <c r="B29" s="30" t="s">
        <v>10</v>
      </c>
      <c r="D29" s="20"/>
      <c r="E29" s="5"/>
      <c r="F29" s="5"/>
      <c r="G29" s="5"/>
    </row>
    <row r="30" spans="1:20" outlineLevel="1">
      <c r="D30" s="21"/>
      <c r="E30" s="6"/>
      <c r="F30" s="6"/>
      <c r="G30" s="6"/>
    </row>
    <row r="31" spans="1:20" s="41" customFormat="1" outlineLevel="1">
      <c r="A31" s="10">
        <v>1</v>
      </c>
      <c r="B31" s="40" t="s">
        <v>11</v>
      </c>
      <c r="D31" s="22" t="e">
        <f>-SUM(#REF!)</f>
        <v>#REF!</v>
      </c>
      <c r="E31" s="22">
        <f>SUM(E33:E45)</f>
        <v>-407403</v>
      </c>
      <c r="F31" s="22">
        <f t="shared" ref="F31:G31" si="4">SUM(F33:F45)</f>
        <v>-407403</v>
      </c>
      <c r="G31" s="22">
        <f t="shared" si="4"/>
        <v>-407403</v>
      </c>
    </row>
    <row r="32" spans="1:20" outlineLevel="2">
      <c r="D32" s="21"/>
      <c r="E32" s="6"/>
      <c r="F32" s="6"/>
      <c r="G32" s="6"/>
    </row>
    <row r="33" spans="1:10" outlineLevel="2">
      <c r="B33" s="36" t="s">
        <v>12</v>
      </c>
      <c r="D33" s="21"/>
      <c r="E33" s="59">
        <f>-35000*1.04*1.22</f>
        <v>-44408</v>
      </c>
      <c r="F33" s="59">
        <f t="shared" ref="F33:G42" si="5">+E33</f>
        <v>-44408</v>
      </c>
      <c r="G33" s="59">
        <f t="shared" si="5"/>
        <v>-44408</v>
      </c>
      <c r="J33" s="29" t="s">
        <v>13</v>
      </c>
    </row>
    <row r="34" spans="1:10" outlineLevel="2">
      <c r="B34" s="36" t="s">
        <v>14</v>
      </c>
      <c r="D34" s="21"/>
      <c r="E34" s="59">
        <f>-4575*4</f>
        <v>-18300</v>
      </c>
      <c r="F34" s="59">
        <f t="shared" si="5"/>
        <v>-18300</v>
      </c>
      <c r="G34" s="59">
        <f t="shared" si="5"/>
        <v>-18300</v>
      </c>
      <c r="J34" s="29" t="s">
        <v>15</v>
      </c>
    </row>
    <row r="35" spans="1:10" outlineLevel="2">
      <c r="B35" s="36" t="s">
        <v>16</v>
      </c>
      <c r="D35" s="21"/>
      <c r="E35" s="59">
        <f>-4849.5*4</f>
        <v>-19398</v>
      </c>
      <c r="F35" s="59">
        <f t="shared" si="5"/>
        <v>-19398</v>
      </c>
      <c r="G35" s="59">
        <f t="shared" si="5"/>
        <v>-19398</v>
      </c>
      <c r="J35" s="29" t="s">
        <v>15</v>
      </c>
    </row>
    <row r="36" spans="1:10" outlineLevel="2">
      <c r="B36" s="36" t="s">
        <v>17</v>
      </c>
      <c r="D36" s="21"/>
      <c r="E36" s="59">
        <v>-400</v>
      </c>
      <c r="F36" s="59">
        <f t="shared" si="5"/>
        <v>-400</v>
      </c>
      <c r="G36" s="59">
        <f t="shared" si="5"/>
        <v>-400</v>
      </c>
      <c r="J36" s="29" t="s">
        <v>15</v>
      </c>
    </row>
    <row r="37" spans="1:10" outlineLevel="2">
      <c r="B37" s="36" t="s">
        <v>18</v>
      </c>
      <c r="D37" s="21"/>
      <c r="E37" s="59">
        <v>-732</v>
      </c>
      <c r="F37" s="59">
        <f t="shared" si="5"/>
        <v>-732</v>
      </c>
      <c r="G37" s="59">
        <f t="shared" si="5"/>
        <v>-732</v>
      </c>
      <c r="J37" s="29" t="s">
        <v>19</v>
      </c>
    </row>
    <row r="38" spans="1:10" outlineLevel="2">
      <c r="B38" s="36" t="s">
        <v>20</v>
      </c>
      <c r="D38" s="21"/>
      <c r="E38" s="59">
        <v>-7300</v>
      </c>
      <c r="F38" s="59">
        <f t="shared" si="5"/>
        <v>-7300</v>
      </c>
      <c r="G38" s="59">
        <f t="shared" si="5"/>
        <v>-7300</v>
      </c>
      <c r="J38" s="29" t="s">
        <v>21</v>
      </c>
    </row>
    <row r="39" spans="1:10" outlineLevel="2">
      <c r="B39" s="36" t="s">
        <v>22</v>
      </c>
      <c r="D39" s="21"/>
      <c r="E39" s="59">
        <f>-35000*1.04*1.22</f>
        <v>-44408</v>
      </c>
      <c r="F39" s="59">
        <f t="shared" si="5"/>
        <v>-44408</v>
      </c>
      <c r="G39" s="59">
        <f t="shared" si="5"/>
        <v>-44408</v>
      </c>
      <c r="J39" s="29" t="s">
        <v>23</v>
      </c>
    </row>
    <row r="40" spans="1:10" s="51" customFormat="1" outlineLevel="2">
      <c r="B40" s="57" t="s">
        <v>24</v>
      </c>
      <c r="D40" s="23"/>
      <c r="E40" s="61">
        <v>-60000</v>
      </c>
      <c r="F40" s="61">
        <f t="shared" si="5"/>
        <v>-60000</v>
      </c>
      <c r="G40" s="61">
        <f t="shared" si="5"/>
        <v>-60000</v>
      </c>
      <c r="J40" s="51" t="s">
        <v>25</v>
      </c>
    </row>
    <row r="41" spans="1:10" outlineLevel="2">
      <c r="B41" s="36" t="s">
        <v>26</v>
      </c>
      <c r="D41" s="21"/>
      <c r="E41" s="59">
        <v>-162925</v>
      </c>
      <c r="F41" s="59">
        <f t="shared" si="5"/>
        <v>-162925</v>
      </c>
      <c r="G41" s="59">
        <f t="shared" si="5"/>
        <v>-162925</v>
      </c>
      <c r="J41" s="29" t="s">
        <v>21</v>
      </c>
    </row>
    <row r="42" spans="1:10" outlineLevel="2">
      <c r="B42" s="36" t="s">
        <v>27</v>
      </c>
      <c r="D42" s="21"/>
      <c r="E42" s="59">
        <f>-15225.6-10150.4-10150.4</f>
        <v>-35526.400000000001</v>
      </c>
      <c r="F42" s="59">
        <f t="shared" si="5"/>
        <v>-35526.400000000001</v>
      </c>
      <c r="G42" s="59">
        <f t="shared" si="5"/>
        <v>-35526.400000000001</v>
      </c>
    </row>
    <row r="43" spans="1:10" outlineLevel="2">
      <c r="B43" s="57" t="s">
        <v>28</v>
      </c>
      <c r="D43" s="23"/>
      <c r="E43" s="59">
        <f>-3500*2*1.04*1.22</f>
        <v>-8881.6</v>
      </c>
      <c r="F43" s="59">
        <f t="shared" ref="F43:G43" si="6">+E43</f>
        <v>-8881.6</v>
      </c>
      <c r="G43" s="59">
        <f t="shared" si="6"/>
        <v>-8881.6</v>
      </c>
      <c r="J43" s="29" t="s">
        <v>21</v>
      </c>
    </row>
    <row r="44" spans="1:10" outlineLevel="2">
      <c r="B44" s="36" t="s">
        <v>29</v>
      </c>
      <c r="D44" s="21"/>
      <c r="E44" s="59">
        <v>-1830</v>
      </c>
      <c r="F44" s="59">
        <f>+E44</f>
        <v>-1830</v>
      </c>
      <c r="G44" s="59">
        <f>+F44</f>
        <v>-1830</v>
      </c>
      <c r="J44" s="29" t="s">
        <v>30</v>
      </c>
    </row>
    <row r="45" spans="1:10" ht="12.6" outlineLevel="2">
      <c r="B45" s="69" t="s">
        <v>31</v>
      </c>
      <c r="D45" s="29"/>
      <c r="E45" s="59">
        <v>-3294</v>
      </c>
      <c r="F45" s="59">
        <f>+E45</f>
        <v>-3294</v>
      </c>
      <c r="G45" s="59">
        <f>+F45</f>
        <v>-3294</v>
      </c>
    </row>
    <row r="46" spans="1:10" outlineLevel="2">
      <c r="B46" s="36"/>
      <c r="D46" s="21"/>
      <c r="E46" s="59"/>
      <c r="F46" s="59"/>
      <c r="G46" s="59"/>
    </row>
    <row r="47" spans="1:10" s="41" customFormat="1" outlineLevel="1">
      <c r="A47" s="10">
        <v>2</v>
      </c>
      <c r="B47" s="63" t="s">
        <v>32</v>
      </c>
      <c r="D47" s="22" t="e">
        <f t="shared" ref="D47" si="7">-SUM(D49:D52)</f>
        <v>#REF!</v>
      </c>
      <c r="E47" s="22">
        <f>SUM(E49:E52)</f>
        <v>-309000</v>
      </c>
      <c r="F47" s="22">
        <f>SUM(F49:F52)</f>
        <v>-309000</v>
      </c>
      <c r="G47" s="22">
        <f>SUM(G49:G52)</f>
        <v>-309000</v>
      </c>
    </row>
    <row r="48" spans="1:10" outlineLevel="2">
      <c r="B48" s="36"/>
      <c r="D48" s="21"/>
      <c r="E48" s="6"/>
      <c r="F48" s="6"/>
      <c r="G48" s="6"/>
    </row>
    <row r="49" spans="1:20" ht="12.6" outlineLevel="2">
      <c r="B49" s="36" t="s">
        <v>33</v>
      </c>
      <c r="D49" s="61" t="e">
        <f>+SUM(#REF!)</f>
        <v>#REF!</v>
      </c>
      <c r="E49" s="59">
        <v>-130000</v>
      </c>
      <c r="F49" s="59">
        <f t="shared" ref="F49:G49" si="8">+E49</f>
        <v>-130000</v>
      </c>
      <c r="G49" s="59">
        <f t="shared" si="8"/>
        <v>-130000</v>
      </c>
    </row>
    <row r="50" spans="1:20" ht="12.6" outlineLevel="2">
      <c r="B50" s="36" t="s">
        <v>34</v>
      </c>
      <c r="D50" s="61" t="e">
        <f>+SUM(#REF!)</f>
        <v>#REF!</v>
      </c>
      <c r="E50" s="59">
        <v>-75000</v>
      </c>
      <c r="F50" s="59">
        <f t="shared" ref="F50:G50" si="9">+E50</f>
        <v>-75000</v>
      </c>
      <c r="G50" s="59">
        <f t="shared" si="9"/>
        <v>-75000</v>
      </c>
    </row>
    <row r="51" spans="1:20" ht="12.6" outlineLevel="2">
      <c r="B51" s="36" t="s">
        <v>35</v>
      </c>
      <c r="D51" s="61" t="e">
        <f>+SUM(#REF!)</f>
        <v>#REF!</v>
      </c>
      <c r="E51" s="59">
        <v>-77000</v>
      </c>
      <c r="F51" s="59">
        <f t="shared" ref="F51:G51" si="10">+E51</f>
        <v>-77000</v>
      </c>
      <c r="G51" s="59">
        <f t="shared" si="10"/>
        <v>-77000</v>
      </c>
    </row>
    <row r="52" spans="1:20" ht="12.6" outlineLevel="2">
      <c r="B52" s="36" t="s">
        <v>36</v>
      </c>
      <c r="D52" s="61" t="e">
        <f>+SUM(#REF!)</f>
        <v>#REF!</v>
      </c>
      <c r="E52" s="59">
        <v>-27000</v>
      </c>
      <c r="F52" s="59">
        <f>+E52</f>
        <v>-27000</v>
      </c>
      <c r="G52" s="59">
        <f>+F52</f>
        <v>-27000</v>
      </c>
    </row>
    <row r="53" spans="1:20" outlineLevel="2">
      <c r="B53" s="36"/>
      <c r="C53" s="51"/>
      <c r="D53" s="21"/>
      <c r="E53" s="6"/>
      <c r="F53" s="6"/>
      <c r="G53" s="6"/>
    </row>
    <row r="54" spans="1:20" s="64" customFormat="1" outlineLevel="1">
      <c r="A54" s="62">
        <v>6</v>
      </c>
      <c r="B54" s="63" t="s">
        <v>37</v>
      </c>
      <c r="D54" s="7" t="e">
        <f t="shared" ref="D54" si="11">-SUM(D56:D61)</f>
        <v>#REF!</v>
      </c>
      <c r="E54" s="22">
        <f>SUM(E56:E57)</f>
        <v>-16000</v>
      </c>
      <c r="F54" s="22">
        <f t="shared" ref="F54:G54" si="12">SUM(F56:F57)</f>
        <v>-16000</v>
      </c>
      <c r="G54" s="22">
        <f t="shared" si="12"/>
        <v>-16000</v>
      </c>
      <c r="H54" s="65"/>
      <c r="I54" s="65"/>
    </row>
    <row r="55" spans="1:20" s="66" customFormat="1" ht="12.6" outlineLevel="2">
      <c r="B55" s="68"/>
      <c r="D55" s="6"/>
      <c r="E55" s="6"/>
      <c r="F55" s="6"/>
      <c r="G55" s="6"/>
      <c r="H55" s="67"/>
      <c r="I55" s="67"/>
    </row>
    <row r="56" spans="1:20" s="66" customFormat="1" outlineLevel="2">
      <c r="B56" s="36" t="s">
        <v>38</v>
      </c>
      <c r="C56" s="29"/>
      <c r="D56" s="21"/>
      <c r="E56" s="59">
        <v>-10000</v>
      </c>
      <c r="F56" s="59">
        <f t="shared" ref="F56:F57" si="13">+E56</f>
        <v>-10000</v>
      </c>
      <c r="G56" s="59">
        <f t="shared" ref="G56:G57" si="14">+F56</f>
        <v>-10000</v>
      </c>
      <c r="H56" s="67"/>
      <c r="I56" s="67"/>
    </row>
    <row r="57" spans="1:20" s="66" customFormat="1" outlineLevel="2">
      <c r="B57" s="36" t="s">
        <v>37</v>
      </c>
      <c r="C57" s="29"/>
      <c r="D57" s="21"/>
      <c r="E57" s="59">
        <v>-6000</v>
      </c>
      <c r="F57" s="59">
        <f t="shared" si="13"/>
        <v>-6000</v>
      </c>
      <c r="G57" s="59">
        <f t="shared" si="14"/>
        <v>-6000</v>
      </c>
      <c r="H57" s="67"/>
      <c r="I57" s="67"/>
    </row>
    <row r="58" spans="1:20" s="66" customFormat="1" ht="12.6" outlineLevel="2">
      <c r="D58" s="6"/>
      <c r="E58" s="6"/>
      <c r="F58" s="6"/>
      <c r="G58" s="6"/>
      <c r="H58" s="67"/>
      <c r="I58" s="67"/>
    </row>
    <row r="59" spans="1:20" s="64" customFormat="1" outlineLevel="1">
      <c r="A59" s="62">
        <v>8</v>
      </c>
      <c r="B59" s="63" t="s">
        <v>39</v>
      </c>
      <c r="D59" s="7" t="e">
        <f>-SUM(D61:D65)</f>
        <v>#REF!</v>
      </c>
      <c r="E59" s="22">
        <f>SUM(E61)</f>
        <v>-2500</v>
      </c>
      <c r="F59" s="22">
        <f t="shared" ref="F59:G59" si="15">SUM(F61)</f>
        <v>-2500</v>
      </c>
      <c r="G59" s="22">
        <f t="shared" si="15"/>
        <v>-500</v>
      </c>
      <c r="H59" s="65"/>
      <c r="I59" s="65"/>
    </row>
    <row r="60" spans="1:20" s="66" customFormat="1" ht="12.6" outlineLevel="2">
      <c r="D60" s="6"/>
      <c r="E60" s="6"/>
      <c r="F60" s="6"/>
      <c r="G60" s="6"/>
      <c r="H60" s="67"/>
      <c r="I60" s="67"/>
    </row>
    <row r="61" spans="1:20" s="66" customFormat="1" outlineLevel="2">
      <c r="B61" s="36" t="s">
        <v>39</v>
      </c>
      <c r="C61" s="29"/>
      <c r="D61" s="21"/>
      <c r="E61" s="59">
        <v>-2500</v>
      </c>
      <c r="F61" s="59">
        <f t="shared" ref="F61" si="16">+E61</f>
        <v>-2500</v>
      </c>
      <c r="G61" s="59">
        <v>-500</v>
      </c>
      <c r="H61" s="67"/>
      <c r="I61" s="67"/>
    </row>
    <row r="62" spans="1:20" s="66" customFormat="1" outlineLevel="2">
      <c r="B62" s="36"/>
      <c r="C62" s="29"/>
      <c r="D62" s="21"/>
      <c r="E62" s="59"/>
      <c r="F62" s="59"/>
      <c r="G62" s="59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7"/>
      <c r="T62" s="67"/>
    </row>
    <row r="63" spans="1:20" s="41" customFormat="1" outlineLevel="1">
      <c r="A63" s="10">
        <v>9</v>
      </c>
      <c r="B63" s="63" t="s">
        <v>40</v>
      </c>
      <c r="D63" s="22" t="e">
        <f>-SUM(D65:D65)</f>
        <v>#REF!</v>
      </c>
      <c r="E63" s="7">
        <f>SUM(E65:E66)</f>
        <v>-150150</v>
      </c>
      <c r="F63" s="7">
        <f t="shared" ref="F63:G63" si="17">SUM(F65:F66)</f>
        <v>-400300</v>
      </c>
      <c r="G63" s="7">
        <f t="shared" si="17"/>
        <v>-450150</v>
      </c>
    </row>
    <row r="64" spans="1:20" outlineLevel="2">
      <c r="B64" s="36"/>
      <c r="D64" s="21"/>
      <c r="E64" s="6"/>
      <c r="F64" s="6"/>
      <c r="G64" s="6"/>
    </row>
    <row r="65" spans="1:16" outlineLevel="2">
      <c r="B65" s="36" t="s">
        <v>41</v>
      </c>
      <c r="D65" s="21" t="e">
        <f>+SUM(#REF!)</f>
        <v>#REF!</v>
      </c>
      <c r="E65" s="6">
        <v>-150150</v>
      </c>
      <c r="F65" s="6">
        <v>-300300</v>
      </c>
      <c r="G65" s="6">
        <v>-150150</v>
      </c>
      <c r="J65" s="29" t="s">
        <v>42</v>
      </c>
    </row>
    <row r="66" spans="1:16" outlineLevel="2">
      <c r="B66" s="36" t="s">
        <v>43</v>
      </c>
      <c r="D66" s="21"/>
      <c r="E66" s="6"/>
      <c r="F66" s="6">
        <v>-100000</v>
      </c>
      <c r="G66" s="6">
        <v>-300000</v>
      </c>
    </row>
    <row r="67" spans="1:16" outlineLevel="2">
      <c r="B67" s="36"/>
      <c r="D67" s="21"/>
      <c r="E67" s="6"/>
      <c r="F67" s="6"/>
      <c r="G67" s="6"/>
    </row>
    <row r="68" spans="1:16" s="33" customFormat="1" outlineLevel="2">
      <c r="A68" s="10">
        <v>10</v>
      </c>
      <c r="B68" s="63" t="s">
        <v>44</v>
      </c>
      <c r="D68" s="22" t="e">
        <f t="shared" ref="D68" si="18">-SUM(D70)</f>
        <v>#REF!</v>
      </c>
      <c r="E68" s="7">
        <f>SUM(E70)</f>
        <v>-12000</v>
      </c>
      <c r="F68" s="7">
        <f t="shared" ref="F68:G68" si="19">SUM(F70)</f>
        <v>-12000</v>
      </c>
      <c r="G68" s="7">
        <f t="shared" si="19"/>
        <v>-12000</v>
      </c>
    </row>
    <row r="69" spans="1:16">
      <c r="A69" s="42"/>
      <c r="B69" s="36"/>
      <c r="E69" s="6"/>
      <c r="F69" s="6"/>
      <c r="G69" s="6"/>
    </row>
    <row r="70" spans="1:16" outlineLevel="2">
      <c r="B70" s="36" t="s">
        <v>45</v>
      </c>
      <c r="D70" s="21" t="e">
        <f>+SUM(#REF!)</f>
        <v>#REF!</v>
      </c>
      <c r="E70" s="6">
        <v>-12000</v>
      </c>
      <c r="F70" s="6">
        <v>-12000</v>
      </c>
      <c r="G70" s="6">
        <v>-12000</v>
      </c>
      <c r="H70" s="51"/>
      <c r="I70" s="51"/>
      <c r="J70" s="51"/>
      <c r="K70" s="51"/>
      <c r="L70" s="51"/>
      <c r="M70" s="51"/>
    </row>
    <row r="71" spans="1:16" outlineLevel="2">
      <c r="B71" s="36"/>
      <c r="D71" s="21"/>
      <c r="E71" s="6"/>
      <c r="F71" s="6"/>
      <c r="G71" s="6"/>
    </row>
    <row r="72" spans="1:16" s="39" customFormat="1">
      <c r="A72" s="38"/>
      <c r="B72" s="30" t="s">
        <v>46</v>
      </c>
      <c r="D72" s="8" t="e">
        <f>#REF!+D31+#REF!+D47+#REF!+#REF!+#REF!+#REF!+D63+D68</f>
        <v>#REF!</v>
      </c>
      <c r="E72" s="8">
        <f>SUM(E68,E63,E47,E31,E59,E54)</f>
        <v>-897053</v>
      </c>
      <c r="F72" s="8">
        <f>SUM(F68,F63,F47,F31,F59,F54)</f>
        <v>-1147203</v>
      </c>
      <c r="G72" s="8">
        <f>SUM(G68,G63,G47,G31,G59,G54)</f>
        <v>-1195053</v>
      </c>
    </row>
    <row r="73" spans="1:16">
      <c r="D73" s="44"/>
      <c r="E73" s="12"/>
      <c r="F73" s="12"/>
      <c r="G73" s="12"/>
    </row>
    <row r="74" spans="1:16" ht="15.6">
      <c r="B74" s="45" t="s">
        <v>47</v>
      </c>
      <c r="C74" s="43"/>
      <c r="D74" s="9" t="e">
        <f>+D27+D72</f>
        <v>#REF!</v>
      </c>
      <c r="E74" s="9">
        <f>SUM(E27,E72)</f>
        <v>-897053</v>
      </c>
      <c r="F74" s="9">
        <f>SUM(F27,F72)</f>
        <v>-1147203</v>
      </c>
      <c r="G74" s="9">
        <f>SUM(G27,G72)</f>
        <v>-1195053</v>
      </c>
    </row>
    <row r="75" spans="1:16">
      <c r="D75" s="21"/>
      <c r="E75" s="6"/>
      <c r="F75" s="6"/>
      <c r="G75" s="6"/>
    </row>
    <row r="76" spans="1:16" ht="15.6">
      <c r="B76" s="55" t="s">
        <v>48</v>
      </c>
      <c r="C76" s="43"/>
      <c r="D76" s="11">
        <f>1935936-(2*375715)</f>
        <v>1184506</v>
      </c>
      <c r="E76" s="11">
        <f>+E74+D76+200000+181546.81</f>
        <v>668999.81000000006</v>
      </c>
      <c r="F76" s="11">
        <f>SUM(E76,F74)+200000+1363093.61</f>
        <v>1084890.4200000002</v>
      </c>
      <c r="G76" s="11">
        <f>SUM(F76,G74)+200000+1181546.8</f>
        <v>1271384.2200000002</v>
      </c>
    </row>
    <row r="77" spans="1:16" ht="377.1">
      <c r="E77" s="52" t="s">
        <v>49</v>
      </c>
      <c r="F77" s="58" t="s">
        <v>50</v>
      </c>
      <c r="G77" s="58" t="s">
        <v>51</v>
      </c>
      <c r="K77" s="51"/>
      <c r="L77" s="51"/>
      <c r="M77" s="51"/>
      <c r="N77" s="51"/>
      <c r="O77" s="51"/>
      <c r="P77" s="51"/>
    </row>
    <row r="78" spans="1:16">
      <c r="D78" s="21"/>
      <c r="E78" s="6"/>
      <c r="F78" s="6"/>
      <c r="G78" s="6"/>
    </row>
    <row r="79" spans="1:16" ht="13.5" thickBot="1">
      <c r="A79" s="42"/>
      <c r="B79" s="46"/>
      <c r="D79" s="21"/>
      <c r="E79" s="56"/>
      <c r="F79" s="6"/>
      <c r="G79" s="6"/>
    </row>
    <row r="80" spans="1:16" ht="13.5" outlineLevel="2" thickBot="1">
      <c r="A80" s="42"/>
      <c r="B80" s="47" t="s">
        <v>52</v>
      </c>
      <c r="C80" s="48"/>
      <c r="D80" s="14" t="e">
        <f>+SUM(#REF!)</f>
        <v>#REF!</v>
      </c>
      <c r="E80" s="16">
        <v>0</v>
      </c>
      <c r="F80" s="16">
        <v>0</v>
      </c>
      <c r="G80" s="16">
        <v>0</v>
      </c>
    </row>
    <row r="81" spans="1:10" ht="13.5" outlineLevel="2" thickBot="1">
      <c r="A81" s="42"/>
      <c r="B81" s="49" t="s">
        <v>53</v>
      </c>
      <c r="C81" s="50"/>
      <c r="D81" s="15" t="e">
        <f>+SUM(#REF!)</f>
        <v>#REF!</v>
      </c>
      <c r="E81" s="13">
        <v>0</v>
      </c>
      <c r="F81" s="13">
        <v>0</v>
      </c>
      <c r="G81" s="13">
        <v>0</v>
      </c>
    </row>
    <row r="82" spans="1:10">
      <c r="D82" s="21"/>
    </row>
    <row r="96" spans="1:10" s="51" customFormat="1" outlineLevel="2">
      <c r="A96" s="29"/>
      <c r="B96" s="57" t="s">
        <v>54</v>
      </c>
      <c r="D96" s="23" t="e">
        <f>+SUM(#REF!)</f>
        <v>#REF!</v>
      </c>
      <c r="E96" s="6">
        <v>118275</v>
      </c>
      <c r="F96" s="6">
        <v>236550</v>
      </c>
      <c r="G96" s="6">
        <v>118275</v>
      </c>
      <c r="H96" s="6"/>
      <c r="I96" s="6"/>
      <c r="J96" s="51" t="s">
        <v>55</v>
      </c>
    </row>
    <row r="97" spans="1:10" s="51" customFormat="1" outlineLevel="2">
      <c r="A97" s="29"/>
      <c r="B97" s="57" t="s">
        <v>56</v>
      </c>
      <c r="D97" s="23"/>
      <c r="E97" s="71">
        <v>63271.805</v>
      </c>
      <c r="F97" s="71" t="s">
        <v>57</v>
      </c>
      <c r="G97" s="71">
        <v>63271.805</v>
      </c>
      <c r="H97" s="6"/>
      <c r="I97" s="6"/>
      <c r="J97" s="51" t="s">
        <v>58</v>
      </c>
    </row>
    <row r="98" spans="1:10" outlineLevel="2">
      <c r="B98" s="36" t="s">
        <v>59</v>
      </c>
      <c r="C98" s="29" t="s">
        <v>60</v>
      </c>
      <c r="D98" s="21" t="e">
        <f>+SUM(#REF!)</f>
        <v>#REF!</v>
      </c>
      <c r="E98" s="6"/>
      <c r="F98" s="6">
        <v>1000000</v>
      </c>
      <c r="G98" s="6">
        <v>1000000</v>
      </c>
    </row>
  </sheetData>
  <phoneticPr fontId="11" type="noConversion"/>
  <pageMargins left="0.7" right="0.7" top="0.75" bottom="0.75" header="0.3" footer="0.3"/>
  <pageSetup paperSize="8" scale="38" orientation="portrait" r:id="rId1"/>
  <customProperties>
    <customPr name="OrphanNamesChecked" r:id="rId2"/>
  </customPropertie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0BA5-75C4-406D-80D9-2049B9EAB4CB}">
  <sheetPr>
    <pageSetUpPr fitToPage="1"/>
  </sheetPr>
  <dimension ref="A1:T105"/>
  <sheetViews>
    <sheetView tabSelected="1" zoomScaleNormal="100" workbookViewId="0">
      <pane xSplit="2" ySplit="4" topLeftCell="C57" activePane="bottomRight" state="frozen"/>
      <selection pane="bottomRight" activeCell="F80" sqref="F80"/>
      <selection pane="bottomLeft" activeCell="A10" sqref="A10"/>
      <selection pane="topRight" activeCell="C1" sqref="C1"/>
    </sheetView>
  </sheetViews>
  <sheetFormatPr defaultColWidth="8.5703125" defaultRowHeight="12.95" outlineLevelRow="2" outlineLevelCol="1"/>
  <cols>
    <col min="1" max="1" width="2.5703125" style="29" customWidth="1"/>
    <col min="2" max="2" width="58.140625" style="29" bestFit="1" customWidth="1"/>
    <col min="3" max="3" width="15.5703125" style="29" customWidth="1"/>
    <col min="4" max="4" width="17.5703125" style="19" hidden="1" customWidth="1" outlineLevel="1"/>
    <col min="5" max="5" width="17.5703125" style="2" customWidth="1" collapsed="1"/>
    <col min="6" max="7" width="17.5703125" style="2" customWidth="1"/>
    <col min="8" max="9" width="8.5703125" style="29"/>
    <col min="10" max="10" width="44.42578125" style="29" customWidth="1"/>
    <col min="11" max="16384" width="8.5703125" style="29"/>
  </cols>
  <sheetData>
    <row r="1" spans="1:7" s="24" customFormat="1">
      <c r="D1" s="17"/>
      <c r="E1" s="1"/>
      <c r="F1" s="1"/>
      <c r="G1" s="1"/>
    </row>
    <row r="2" spans="1:7" s="25" customFormat="1" ht="38.450000000000003" customHeight="1">
      <c r="C2" s="53" t="s">
        <v>0</v>
      </c>
      <c r="D2" s="18" t="s">
        <v>1</v>
      </c>
      <c r="E2" s="3" t="s">
        <v>2</v>
      </c>
      <c r="F2" s="3" t="s">
        <v>2</v>
      </c>
      <c r="G2" s="3" t="s">
        <v>2</v>
      </c>
    </row>
    <row r="3" spans="1:7" s="24" customFormat="1">
      <c r="D3" s="17"/>
      <c r="E3" s="1"/>
      <c r="F3" s="1"/>
      <c r="G3" s="1"/>
    </row>
    <row r="4" spans="1:7" s="24" customFormat="1">
      <c r="C4" s="24" t="s">
        <v>3</v>
      </c>
      <c r="D4" s="17" t="e">
        <f>+YEAR(#REF!)</f>
        <v>#REF!</v>
      </c>
      <c r="E4" s="1">
        <v>2026</v>
      </c>
      <c r="F4" s="1">
        <v>2027</v>
      </c>
      <c r="G4" s="1">
        <v>2028</v>
      </c>
    </row>
    <row r="6" spans="1:7" s="27" customFormat="1" ht="18">
      <c r="A6" s="26" t="s">
        <v>4</v>
      </c>
      <c r="D6" s="4"/>
      <c r="E6" s="4"/>
      <c r="F6" s="4"/>
      <c r="G6" s="4"/>
    </row>
    <row r="7" spans="1:7">
      <c r="A7" s="28"/>
    </row>
    <row r="8" spans="1:7" s="28" customFormat="1">
      <c r="A8" s="29"/>
      <c r="B8" s="30" t="s">
        <v>4</v>
      </c>
      <c r="D8" s="20"/>
      <c r="E8" s="5"/>
      <c r="F8" s="5"/>
      <c r="G8" s="5"/>
    </row>
    <row r="9" spans="1:7" outlineLevel="1">
      <c r="B9" s="31"/>
      <c r="D9" s="21"/>
      <c r="E9" s="6"/>
      <c r="F9" s="6"/>
      <c r="G9" s="6"/>
    </row>
    <row r="10" spans="1:7" s="33" customFormat="1" ht="28.7" customHeight="1" outlineLevel="1">
      <c r="A10" s="10">
        <v>1</v>
      </c>
      <c r="B10" s="32" t="s">
        <v>5</v>
      </c>
      <c r="C10" s="54"/>
      <c r="D10" s="22" t="e">
        <f>+SUM(#REF!)</f>
        <v>#REF!</v>
      </c>
      <c r="E10" s="22">
        <f>SUM(E12)</f>
        <v>0</v>
      </c>
      <c r="F10" s="22">
        <f>SUM(F12)</f>
        <v>0</v>
      </c>
      <c r="G10" s="22">
        <f>SUM(G12)</f>
        <v>0</v>
      </c>
    </row>
    <row r="11" spans="1:7" outlineLevel="2">
      <c r="B11" s="34"/>
      <c r="D11" s="23"/>
      <c r="E11" s="6"/>
      <c r="F11" s="6"/>
      <c r="G11" s="6"/>
    </row>
    <row r="12" spans="1:7" outlineLevel="2">
      <c r="B12" s="31"/>
      <c r="D12" s="21"/>
      <c r="E12" s="6"/>
      <c r="F12" s="6"/>
      <c r="G12" s="6"/>
    </row>
    <row r="13" spans="1:7" outlineLevel="2">
      <c r="B13" s="31"/>
      <c r="D13" s="21"/>
      <c r="E13" s="6"/>
      <c r="F13" s="6"/>
      <c r="G13" s="6"/>
    </row>
    <row r="14" spans="1:7" s="33" customFormat="1" outlineLevel="1">
      <c r="A14" s="10">
        <v>2</v>
      </c>
      <c r="B14" s="37" t="s">
        <v>6</v>
      </c>
      <c r="D14" s="22" t="e">
        <f t="shared" ref="D14:G14" si="0">+SUM(D16:D16)</f>
        <v>#REF!</v>
      </c>
      <c r="E14" s="22">
        <f t="shared" si="0"/>
        <v>0</v>
      </c>
      <c r="F14" s="22">
        <f t="shared" si="0"/>
        <v>0</v>
      </c>
      <c r="G14" s="22">
        <f t="shared" si="0"/>
        <v>0</v>
      </c>
    </row>
    <row r="15" spans="1:7" outlineLevel="2">
      <c r="A15" s="35"/>
      <c r="B15" s="36"/>
      <c r="D15" s="21"/>
      <c r="E15" s="6"/>
      <c r="F15" s="6"/>
      <c r="G15" s="6"/>
    </row>
    <row r="16" spans="1:7" outlineLevel="2">
      <c r="B16" s="36" t="s">
        <v>7</v>
      </c>
      <c r="D16" s="21" t="e">
        <f>+SUM(#REF!)</f>
        <v>#REF!</v>
      </c>
      <c r="E16" s="6">
        <v>0</v>
      </c>
      <c r="F16" s="6">
        <v>0</v>
      </c>
      <c r="G16" s="6">
        <v>0</v>
      </c>
    </row>
    <row r="17" spans="1:20" outlineLevel="2">
      <c r="A17" s="35"/>
      <c r="B17" s="36"/>
      <c r="D17" s="21"/>
      <c r="E17" s="6"/>
      <c r="F17" s="6"/>
      <c r="G17" s="6"/>
    </row>
    <row r="18" spans="1:20" s="33" customFormat="1" outlineLevel="1">
      <c r="A18" s="10">
        <f>+A14+1</f>
        <v>3</v>
      </c>
      <c r="B18" s="37" t="s">
        <v>8</v>
      </c>
      <c r="D18" s="22" t="e">
        <f>+SUM(#REF!)</f>
        <v>#REF!</v>
      </c>
      <c r="E18" s="22">
        <f>SUM(E19:E19)</f>
        <v>0</v>
      </c>
      <c r="F18" s="22">
        <f>SUM(F19:F19)</f>
        <v>0</v>
      </c>
      <c r="G18" s="22">
        <f>SUM(G19:G19)</f>
        <v>0</v>
      </c>
    </row>
    <row r="19" spans="1:20" s="51" customFormat="1" outlineLevel="2">
      <c r="A19" s="29"/>
      <c r="B19" s="36"/>
      <c r="C19" s="29"/>
      <c r="D19" s="21"/>
      <c r="E19" s="6"/>
      <c r="F19" s="6"/>
      <c r="G19" s="6"/>
      <c r="H19" s="6"/>
      <c r="I19" s="6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s="51" customFormat="1" outlineLevel="2">
      <c r="A20" s="29"/>
      <c r="B20" s="36"/>
      <c r="C20" s="29"/>
      <c r="D20" s="21"/>
      <c r="E20" s="6"/>
      <c r="F20" s="6"/>
      <c r="G20" s="6"/>
      <c r="H20" s="6"/>
      <c r="I20" s="6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outlineLevel="2">
      <c r="D21" s="21"/>
      <c r="E21" s="6"/>
      <c r="F21" s="6"/>
      <c r="G21" s="6"/>
    </row>
    <row r="22" spans="1:20" s="39" customFormat="1">
      <c r="A22" s="38"/>
      <c r="B22" s="30" t="s">
        <v>9</v>
      </c>
      <c r="D22" s="8" t="e">
        <f>+D10+#REF!+#REF!+#REF!+#REF!+#REF!+#REF!+D14+D18+#REF!+#REF!+#REF!</f>
        <v>#REF!</v>
      </c>
      <c r="E22" s="8">
        <f>SUM(E18,E14,E10)</f>
        <v>0</v>
      </c>
      <c r="F22" s="8">
        <f>SUM(F18,F14,F10)</f>
        <v>0</v>
      </c>
      <c r="G22" s="8">
        <f>SUM(G18,G14,G10)</f>
        <v>0</v>
      </c>
    </row>
    <row r="23" spans="1:20">
      <c r="D23" s="21"/>
      <c r="E23" s="6"/>
      <c r="F23" s="6"/>
      <c r="G23" s="6"/>
    </row>
    <row r="24" spans="1:20" s="28" customFormat="1">
      <c r="A24" s="29"/>
      <c r="B24" s="30" t="s">
        <v>10</v>
      </c>
      <c r="D24" s="20"/>
      <c r="E24" s="5"/>
      <c r="F24" s="5"/>
      <c r="G24" s="5"/>
    </row>
    <row r="25" spans="1:20" outlineLevel="1">
      <c r="D25" s="21"/>
      <c r="E25" s="6"/>
      <c r="F25" s="6"/>
      <c r="G25" s="6"/>
    </row>
    <row r="26" spans="1:20" s="41" customFormat="1" outlineLevel="1">
      <c r="A26" s="10">
        <v>1</v>
      </c>
      <c r="B26" s="40" t="s">
        <v>11</v>
      </c>
      <c r="D26" s="22" t="e">
        <f>-SUM(#REF!)</f>
        <v>#REF!</v>
      </c>
      <c r="E26" s="22">
        <f>SUM(E28:E40)</f>
        <v>-407403</v>
      </c>
      <c r="F26" s="22">
        <f t="shared" ref="F26:G26" si="1">SUM(F28:F40)</f>
        <v>-407403</v>
      </c>
      <c r="G26" s="22">
        <f t="shared" si="1"/>
        <v>-407403</v>
      </c>
    </row>
    <row r="27" spans="1:20" outlineLevel="2">
      <c r="D27" s="21"/>
      <c r="E27" s="6"/>
      <c r="F27" s="6"/>
      <c r="G27" s="6"/>
    </row>
    <row r="28" spans="1:20" outlineLevel="2">
      <c r="B28" s="36" t="s">
        <v>12</v>
      </c>
      <c r="D28" s="21"/>
      <c r="E28" s="59">
        <f>-35000*1.04*1.22</f>
        <v>-44408</v>
      </c>
      <c r="F28" s="59">
        <f t="shared" ref="F28:G38" si="2">+E28</f>
        <v>-44408</v>
      </c>
      <c r="G28" s="59">
        <f t="shared" si="2"/>
        <v>-44408</v>
      </c>
      <c r="J28" s="29" t="s">
        <v>13</v>
      </c>
    </row>
    <row r="29" spans="1:20" outlineLevel="2">
      <c r="B29" s="36" t="s">
        <v>14</v>
      </c>
      <c r="D29" s="21"/>
      <c r="E29" s="59">
        <f>-4575*4</f>
        <v>-18300</v>
      </c>
      <c r="F29" s="59">
        <f t="shared" si="2"/>
        <v>-18300</v>
      </c>
      <c r="G29" s="59">
        <f t="shared" si="2"/>
        <v>-18300</v>
      </c>
      <c r="J29" s="29" t="s">
        <v>15</v>
      </c>
    </row>
    <row r="30" spans="1:20" outlineLevel="2">
      <c r="B30" s="36" t="s">
        <v>16</v>
      </c>
      <c r="D30" s="21"/>
      <c r="E30" s="59">
        <f>-4849.5*4</f>
        <v>-19398</v>
      </c>
      <c r="F30" s="59">
        <f t="shared" si="2"/>
        <v>-19398</v>
      </c>
      <c r="G30" s="59">
        <f t="shared" si="2"/>
        <v>-19398</v>
      </c>
      <c r="J30" s="29" t="s">
        <v>15</v>
      </c>
    </row>
    <row r="31" spans="1:20" outlineLevel="2">
      <c r="B31" s="36" t="s">
        <v>17</v>
      </c>
      <c r="D31" s="21"/>
      <c r="E31" s="59">
        <v>-400</v>
      </c>
      <c r="F31" s="59">
        <f t="shared" si="2"/>
        <v>-400</v>
      </c>
      <c r="G31" s="59">
        <f t="shared" si="2"/>
        <v>-400</v>
      </c>
      <c r="J31" s="29" t="s">
        <v>15</v>
      </c>
    </row>
    <row r="32" spans="1:20" outlineLevel="2">
      <c r="B32" s="36" t="s">
        <v>18</v>
      </c>
      <c r="D32" s="21"/>
      <c r="E32" s="59">
        <v>-732</v>
      </c>
      <c r="F32" s="59">
        <f t="shared" si="2"/>
        <v>-732</v>
      </c>
      <c r="G32" s="59">
        <f t="shared" si="2"/>
        <v>-732</v>
      </c>
      <c r="J32" s="29" t="s">
        <v>19</v>
      </c>
    </row>
    <row r="33" spans="1:10" outlineLevel="2">
      <c r="B33" s="36" t="s">
        <v>20</v>
      </c>
      <c r="D33" s="21"/>
      <c r="E33" s="59">
        <v>-7300</v>
      </c>
      <c r="F33" s="59">
        <f t="shared" si="2"/>
        <v>-7300</v>
      </c>
      <c r="G33" s="59">
        <f t="shared" si="2"/>
        <v>-7300</v>
      </c>
      <c r="J33" s="29" t="s">
        <v>21</v>
      </c>
    </row>
    <row r="34" spans="1:10" outlineLevel="2">
      <c r="B34" s="36" t="s">
        <v>22</v>
      </c>
      <c r="D34" s="21"/>
      <c r="E34" s="59">
        <f>-35000*1.04*1.22</f>
        <v>-44408</v>
      </c>
      <c r="F34" s="59">
        <f t="shared" si="2"/>
        <v>-44408</v>
      </c>
      <c r="G34" s="59">
        <f t="shared" si="2"/>
        <v>-44408</v>
      </c>
      <c r="J34" s="29" t="s">
        <v>23</v>
      </c>
    </row>
    <row r="35" spans="1:10" s="51" customFormat="1" outlineLevel="2">
      <c r="B35" s="57" t="s">
        <v>24</v>
      </c>
      <c r="D35" s="23"/>
      <c r="E35" s="61">
        <v>-60000</v>
      </c>
      <c r="F35" s="61">
        <f t="shared" si="2"/>
        <v>-60000</v>
      </c>
      <c r="G35" s="61">
        <f t="shared" si="2"/>
        <v>-60000</v>
      </c>
      <c r="J35" s="51" t="s">
        <v>25</v>
      </c>
    </row>
    <row r="36" spans="1:10" outlineLevel="2">
      <c r="B36" s="36" t="s">
        <v>26</v>
      </c>
      <c r="D36" s="21"/>
      <c r="E36" s="59">
        <v>-162925</v>
      </c>
      <c r="F36" s="59">
        <f t="shared" si="2"/>
        <v>-162925</v>
      </c>
      <c r="G36" s="59">
        <f t="shared" si="2"/>
        <v>-162925</v>
      </c>
      <c r="J36" s="29" t="s">
        <v>21</v>
      </c>
    </row>
    <row r="37" spans="1:10" outlineLevel="2">
      <c r="B37" s="36" t="s">
        <v>27</v>
      </c>
      <c r="D37" s="21"/>
      <c r="E37" s="59">
        <f>-15225.6-10150.4-10150.4</f>
        <v>-35526.400000000001</v>
      </c>
      <c r="F37" s="59">
        <f t="shared" si="2"/>
        <v>-35526.400000000001</v>
      </c>
      <c r="G37" s="59">
        <f t="shared" si="2"/>
        <v>-35526.400000000001</v>
      </c>
    </row>
    <row r="38" spans="1:10" outlineLevel="2">
      <c r="B38" s="57" t="s">
        <v>28</v>
      </c>
      <c r="D38" s="23"/>
      <c r="E38" s="59">
        <f>-3500*2*1.04*1.22</f>
        <v>-8881.6</v>
      </c>
      <c r="F38" s="59">
        <f t="shared" si="2"/>
        <v>-8881.6</v>
      </c>
      <c r="G38" s="59">
        <f t="shared" si="2"/>
        <v>-8881.6</v>
      </c>
      <c r="J38" s="29" t="s">
        <v>21</v>
      </c>
    </row>
    <row r="39" spans="1:10" outlineLevel="2">
      <c r="B39" s="36" t="s">
        <v>29</v>
      </c>
      <c r="D39" s="21"/>
      <c r="E39" s="59">
        <v>-1830</v>
      </c>
      <c r="F39" s="59">
        <f>+E39</f>
        <v>-1830</v>
      </c>
      <c r="G39" s="59">
        <f>+F39</f>
        <v>-1830</v>
      </c>
      <c r="J39" s="29" t="s">
        <v>30</v>
      </c>
    </row>
    <row r="40" spans="1:10" ht="12.6" outlineLevel="2">
      <c r="B40" s="69" t="s">
        <v>31</v>
      </c>
      <c r="D40" s="29"/>
      <c r="E40" s="59">
        <v>-3294</v>
      </c>
      <c r="F40" s="59">
        <f>+E40</f>
        <v>-3294</v>
      </c>
      <c r="G40" s="59">
        <f>+F40</f>
        <v>-3294</v>
      </c>
    </row>
    <row r="41" spans="1:10" outlineLevel="2">
      <c r="B41" s="36"/>
      <c r="D41" s="21"/>
      <c r="E41" s="59"/>
      <c r="F41" s="59"/>
      <c r="G41" s="59"/>
    </row>
    <row r="42" spans="1:10" s="41" customFormat="1" outlineLevel="1">
      <c r="A42" s="10">
        <v>2</v>
      </c>
      <c r="B42" s="63" t="s">
        <v>32</v>
      </c>
      <c r="D42" s="22" t="e">
        <f t="shared" ref="D42" si="3">-SUM(D44:D47)</f>
        <v>#REF!</v>
      </c>
      <c r="E42" s="22">
        <f>SUM(E44:E47)</f>
        <v>-309000</v>
      </c>
      <c r="F42" s="22">
        <f>SUM(F44:F47)</f>
        <v>-309000</v>
      </c>
      <c r="G42" s="22">
        <f>SUM(G44:G47)</f>
        <v>-309000</v>
      </c>
    </row>
    <row r="43" spans="1:10" outlineLevel="2">
      <c r="B43" s="36"/>
      <c r="D43" s="21"/>
      <c r="E43" s="6"/>
      <c r="F43" s="6"/>
      <c r="G43" s="6"/>
    </row>
    <row r="44" spans="1:10" ht="12.6" outlineLevel="2">
      <c r="B44" s="36" t="s">
        <v>33</v>
      </c>
      <c r="D44" s="61" t="e">
        <f>+SUM(#REF!)</f>
        <v>#REF!</v>
      </c>
      <c r="E44" s="59">
        <v>-130000</v>
      </c>
      <c r="F44" s="59">
        <f t="shared" ref="F44:G46" si="4">+E44</f>
        <v>-130000</v>
      </c>
      <c r="G44" s="59">
        <f t="shared" si="4"/>
        <v>-130000</v>
      </c>
    </row>
    <row r="45" spans="1:10" ht="12.6" outlineLevel="2">
      <c r="B45" s="36" t="s">
        <v>34</v>
      </c>
      <c r="D45" s="61" t="e">
        <f>+SUM(#REF!)</f>
        <v>#REF!</v>
      </c>
      <c r="E45" s="59">
        <v>-75000</v>
      </c>
      <c r="F45" s="59">
        <f t="shared" si="4"/>
        <v>-75000</v>
      </c>
      <c r="G45" s="59">
        <f t="shared" si="4"/>
        <v>-75000</v>
      </c>
    </row>
    <row r="46" spans="1:10" ht="12.6" outlineLevel="2">
      <c r="B46" s="36" t="s">
        <v>35</v>
      </c>
      <c r="D46" s="61" t="e">
        <f>+SUM(#REF!)</f>
        <v>#REF!</v>
      </c>
      <c r="E46" s="59">
        <v>-77000</v>
      </c>
      <c r="F46" s="59">
        <f t="shared" si="4"/>
        <v>-77000</v>
      </c>
      <c r="G46" s="59">
        <f t="shared" si="4"/>
        <v>-77000</v>
      </c>
    </row>
    <row r="47" spans="1:10" ht="12.6" outlineLevel="2">
      <c r="B47" s="36" t="s">
        <v>36</v>
      </c>
      <c r="D47" s="61" t="e">
        <f>+SUM(#REF!)</f>
        <v>#REF!</v>
      </c>
      <c r="E47" s="59">
        <v>-27000</v>
      </c>
      <c r="F47" s="59">
        <f>+E47</f>
        <v>-27000</v>
      </c>
      <c r="G47" s="59">
        <f>+F47</f>
        <v>-27000</v>
      </c>
    </row>
    <row r="48" spans="1:10" outlineLevel="2">
      <c r="B48" s="36"/>
      <c r="C48" s="51"/>
      <c r="D48" s="21"/>
      <c r="E48" s="6"/>
      <c r="F48" s="6"/>
      <c r="G48" s="6"/>
    </row>
    <row r="49" spans="1:20" s="64" customFormat="1" outlineLevel="1">
      <c r="A49" s="62">
        <v>6</v>
      </c>
      <c r="B49" s="63" t="s">
        <v>37</v>
      </c>
      <c r="D49" s="7" t="e">
        <f t="shared" ref="D49" si="5">-SUM(D51:D56)</f>
        <v>#REF!</v>
      </c>
      <c r="E49" s="22">
        <f>SUM(E51:E52)</f>
        <v>-16000</v>
      </c>
      <c r="F49" s="22">
        <f t="shared" ref="F49:G49" si="6">SUM(F51:F52)</f>
        <v>-16000</v>
      </c>
      <c r="G49" s="22">
        <f t="shared" si="6"/>
        <v>-16000</v>
      </c>
      <c r="H49" s="65"/>
      <c r="I49" s="65"/>
    </row>
    <row r="50" spans="1:20" s="66" customFormat="1" ht="12.6" outlineLevel="2">
      <c r="B50" s="68"/>
      <c r="D50" s="6"/>
      <c r="E50" s="6"/>
      <c r="F50" s="6"/>
      <c r="G50" s="6"/>
      <c r="H50" s="67"/>
      <c r="I50" s="67"/>
    </row>
    <row r="51" spans="1:20" s="66" customFormat="1" outlineLevel="2">
      <c r="B51" s="36" t="s">
        <v>38</v>
      </c>
      <c r="C51" s="29"/>
      <c r="D51" s="21"/>
      <c r="E51" s="59">
        <v>-10000</v>
      </c>
      <c r="F51" s="59">
        <f t="shared" ref="F51:G52" si="7">+E51</f>
        <v>-10000</v>
      </c>
      <c r="G51" s="59">
        <f t="shared" si="7"/>
        <v>-10000</v>
      </c>
      <c r="H51" s="67"/>
      <c r="I51" s="67"/>
    </row>
    <row r="52" spans="1:20" s="66" customFormat="1" outlineLevel="2">
      <c r="B52" s="36" t="s">
        <v>37</v>
      </c>
      <c r="C52" s="29"/>
      <c r="D52" s="21"/>
      <c r="E52" s="59">
        <v>-6000</v>
      </c>
      <c r="F52" s="59">
        <f t="shared" si="7"/>
        <v>-6000</v>
      </c>
      <c r="G52" s="59">
        <f t="shared" si="7"/>
        <v>-6000</v>
      </c>
      <c r="H52" s="67"/>
      <c r="I52" s="67"/>
    </row>
    <row r="53" spans="1:20" s="66" customFormat="1" ht="12.6" outlineLevel="2">
      <c r="D53" s="6"/>
      <c r="E53" s="6"/>
      <c r="F53" s="6"/>
      <c r="G53" s="6"/>
      <c r="H53" s="67"/>
      <c r="I53" s="67"/>
    </row>
    <row r="54" spans="1:20" s="64" customFormat="1" outlineLevel="1">
      <c r="A54" s="62">
        <v>8</v>
      </c>
      <c r="B54" s="63" t="s">
        <v>39</v>
      </c>
      <c r="D54" s="7" t="e">
        <f>-SUM(D56:D60)</f>
        <v>#REF!</v>
      </c>
      <c r="E54" s="22">
        <f>SUM(E56)</f>
        <v>-2500</v>
      </c>
      <c r="F54" s="22">
        <f t="shared" ref="F54:G54" si="8">SUM(F56)</f>
        <v>-2500</v>
      </c>
      <c r="G54" s="22">
        <f t="shared" si="8"/>
        <v>-500</v>
      </c>
      <c r="H54" s="65"/>
      <c r="I54" s="65"/>
    </row>
    <row r="55" spans="1:20" s="66" customFormat="1" ht="12.6" outlineLevel="2">
      <c r="D55" s="6"/>
      <c r="E55" s="6"/>
      <c r="F55" s="6"/>
      <c r="G55" s="6"/>
      <c r="H55" s="67"/>
      <c r="I55" s="67"/>
    </row>
    <row r="56" spans="1:20" s="66" customFormat="1" outlineLevel="2">
      <c r="B56" s="36" t="s">
        <v>39</v>
      </c>
      <c r="C56" s="29"/>
      <c r="D56" s="21"/>
      <c r="E56" s="59">
        <v>-2500</v>
      </c>
      <c r="F56" s="59">
        <f t="shared" ref="F56" si="9">+E56</f>
        <v>-2500</v>
      </c>
      <c r="G56" s="59">
        <v>-500</v>
      </c>
      <c r="H56" s="67"/>
      <c r="I56" s="67"/>
    </row>
    <row r="57" spans="1:20" s="66" customFormat="1" outlineLevel="2">
      <c r="B57" s="36"/>
      <c r="C57" s="29"/>
      <c r="D57" s="21"/>
      <c r="E57" s="59"/>
      <c r="F57" s="59"/>
      <c r="G57" s="59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7"/>
      <c r="T57" s="67"/>
    </row>
    <row r="58" spans="1:20" s="41" customFormat="1" outlineLevel="1">
      <c r="A58" s="10">
        <v>9</v>
      </c>
      <c r="B58" s="63" t="s">
        <v>40</v>
      </c>
      <c r="D58" s="22" t="e">
        <f>-SUM(D60:D60)</f>
        <v>#REF!</v>
      </c>
      <c r="E58" s="7">
        <f>SUM(E60:E61)</f>
        <v>-150150</v>
      </c>
      <c r="F58" s="7">
        <f t="shared" ref="F58:G58" si="10">SUM(F60:F61)</f>
        <v>-400300</v>
      </c>
      <c r="G58" s="7">
        <f t="shared" si="10"/>
        <v>-450150</v>
      </c>
    </row>
    <row r="59" spans="1:20" outlineLevel="2">
      <c r="B59" s="36"/>
      <c r="D59" s="21"/>
      <c r="E59" s="6"/>
      <c r="F59" s="6"/>
      <c r="G59" s="6"/>
    </row>
    <row r="60" spans="1:20" outlineLevel="2">
      <c r="B60" s="36" t="s">
        <v>41</v>
      </c>
      <c r="D60" s="21" t="e">
        <f>+SUM(#REF!)</f>
        <v>#REF!</v>
      </c>
      <c r="E60" s="6">
        <v>-150150</v>
      </c>
      <c r="F60" s="6">
        <v>-300300</v>
      </c>
      <c r="G60" s="6">
        <v>-150150</v>
      </c>
      <c r="J60" s="29" t="s">
        <v>42</v>
      </c>
    </row>
    <row r="61" spans="1:20" outlineLevel="2">
      <c r="B61" s="36" t="s">
        <v>43</v>
      </c>
      <c r="D61" s="21"/>
      <c r="E61" s="6"/>
      <c r="F61" s="6">
        <v>-100000</v>
      </c>
      <c r="G61" s="6">
        <v>-300000</v>
      </c>
    </row>
    <row r="62" spans="1:20" outlineLevel="2">
      <c r="B62" s="36"/>
      <c r="D62" s="21"/>
      <c r="E62" s="6"/>
      <c r="F62" s="6"/>
      <c r="G62" s="6"/>
    </row>
    <row r="63" spans="1:20" s="33" customFormat="1" outlineLevel="2">
      <c r="A63" s="10">
        <v>10</v>
      </c>
      <c r="B63" s="63" t="s">
        <v>44</v>
      </c>
      <c r="D63" s="22" t="e">
        <f t="shared" ref="D63" si="11">-SUM(D65)</f>
        <v>#REF!</v>
      </c>
      <c r="E63" s="7">
        <f>SUM(E65)</f>
        <v>-12000</v>
      </c>
      <c r="F63" s="7">
        <f t="shared" ref="F63:G63" si="12">SUM(F65)</f>
        <v>-12000</v>
      </c>
      <c r="G63" s="7">
        <f t="shared" si="12"/>
        <v>-12000</v>
      </c>
    </row>
    <row r="64" spans="1:20">
      <c r="A64" s="42"/>
      <c r="B64" s="36"/>
      <c r="E64" s="6"/>
      <c r="F64" s="6"/>
      <c r="G64" s="6"/>
    </row>
    <row r="65" spans="1:13" outlineLevel="2">
      <c r="B65" s="36" t="s">
        <v>45</v>
      </c>
      <c r="D65" s="21" t="e">
        <f>+SUM(#REF!)</f>
        <v>#REF!</v>
      </c>
      <c r="E65" s="6">
        <v>-12000</v>
      </c>
      <c r="F65" s="6">
        <v>-12000</v>
      </c>
      <c r="G65" s="6">
        <v>-12000</v>
      </c>
      <c r="H65" s="51"/>
      <c r="I65" s="51"/>
      <c r="J65" s="51"/>
      <c r="K65" s="51"/>
      <c r="L65" s="51"/>
      <c r="M65" s="51"/>
    </row>
    <row r="66" spans="1:13" outlineLevel="2">
      <c r="B66" s="36"/>
      <c r="D66" s="21"/>
      <c r="E66" s="6"/>
      <c r="F66" s="6"/>
      <c r="G66" s="6"/>
    </row>
    <row r="67" spans="1:13" s="39" customFormat="1">
      <c r="A67" s="38"/>
      <c r="B67" s="30" t="s">
        <v>46</v>
      </c>
      <c r="D67" s="8" t="e">
        <f>#REF!+D26+#REF!+D42+#REF!+#REF!+#REF!+#REF!+D58+D63</f>
        <v>#REF!</v>
      </c>
      <c r="E67" s="8">
        <f>SUM(E63,E58,E42,E26,E54,E49)</f>
        <v>-897053</v>
      </c>
      <c r="F67" s="8">
        <f>SUM(F63,F58,F42,F26,F54,F49)</f>
        <v>-1147203</v>
      </c>
      <c r="G67" s="8">
        <f>SUM(G63,G58,G42,G26,G54,G49)</f>
        <v>-1195053</v>
      </c>
    </row>
    <row r="68" spans="1:13">
      <c r="D68" s="44"/>
      <c r="E68" s="12"/>
      <c r="F68" s="12"/>
      <c r="G68" s="12"/>
    </row>
    <row r="69" spans="1:13" ht="15.6">
      <c r="B69" s="45" t="s">
        <v>47</v>
      </c>
      <c r="C69" s="43"/>
      <c r="D69" s="9" t="e">
        <f>+D22+D67</f>
        <v>#REF!</v>
      </c>
      <c r="E69" s="9">
        <f>SUM(E22,E67)</f>
        <v>-897053</v>
      </c>
      <c r="F69" s="9">
        <f>SUM(F22,F67)</f>
        <v>-1147203</v>
      </c>
      <c r="G69" s="9">
        <f>SUM(G22,G67)</f>
        <v>-1195053</v>
      </c>
    </row>
    <row r="70" spans="1:13">
      <c r="D70" s="21"/>
      <c r="E70" s="6"/>
      <c r="F70" s="6"/>
      <c r="G70" s="6"/>
    </row>
    <row r="71" spans="1:13" ht="15.6">
      <c r="B71" s="55" t="s">
        <v>61</v>
      </c>
      <c r="C71" s="43"/>
      <c r="D71" s="11">
        <f>1935936-(2*375715)</f>
        <v>1184506</v>
      </c>
      <c r="E71" s="11">
        <f>+D71</f>
        <v>1184506</v>
      </c>
      <c r="F71" s="11">
        <f>+E86</f>
        <v>668999.80499999993</v>
      </c>
      <c r="G71" s="11">
        <f>+F86</f>
        <v>1084890.4149999998</v>
      </c>
    </row>
    <row r="72" spans="1:13">
      <c r="D72" s="21"/>
      <c r="E72" s="6"/>
      <c r="F72" s="6"/>
      <c r="G72" s="6"/>
    </row>
    <row r="73" spans="1:13">
      <c r="A73" s="10"/>
      <c r="B73" s="63" t="s">
        <v>62</v>
      </c>
      <c r="C73" s="22"/>
      <c r="D73" s="21"/>
      <c r="E73" s="22">
        <f>SUM(E75:E78)</f>
        <v>200000</v>
      </c>
      <c r="F73" s="22">
        <f>SUM(F75:F78)</f>
        <v>200000</v>
      </c>
      <c r="G73" s="22">
        <f>SUM(G75:G78)</f>
        <v>200000</v>
      </c>
    </row>
    <row r="74" spans="1:13">
      <c r="A74" s="42"/>
      <c r="B74" s="72"/>
      <c r="C74" s="21"/>
      <c r="D74" s="21"/>
      <c r="E74" s="21"/>
      <c r="F74" s="21"/>
      <c r="G74" s="21"/>
    </row>
    <row r="75" spans="1:13">
      <c r="B75" s="36" t="s">
        <v>63</v>
      </c>
      <c r="D75" s="21"/>
      <c r="E75" s="6">
        <v>100000</v>
      </c>
      <c r="F75" s="6">
        <v>100000</v>
      </c>
      <c r="G75" s="6">
        <v>100000</v>
      </c>
    </row>
    <row r="76" spans="1:13">
      <c r="B76" s="36" t="s">
        <v>64</v>
      </c>
      <c r="D76" s="21"/>
      <c r="E76" s="6">
        <v>60000</v>
      </c>
      <c r="F76" s="6">
        <v>60000</v>
      </c>
      <c r="G76" s="6">
        <v>60000</v>
      </c>
    </row>
    <row r="77" spans="1:13">
      <c r="B77" s="36" t="s">
        <v>65</v>
      </c>
      <c r="D77" s="21"/>
      <c r="E77" s="6">
        <v>25000</v>
      </c>
      <c r="F77" s="6">
        <v>25000</v>
      </c>
      <c r="G77" s="6">
        <v>25000</v>
      </c>
    </row>
    <row r="78" spans="1:13">
      <c r="B78" s="36" t="s">
        <v>66</v>
      </c>
      <c r="D78" s="21"/>
      <c r="E78" s="6">
        <v>15000</v>
      </c>
      <c r="F78" s="6">
        <v>15000</v>
      </c>
      <c r="G78" s="6">
        <v>15000</v>
      </c>
    </row>
    <row r="79" spans="1:13">
      <c r="B79" s="36"/>
      <c r="D79" s="21"/>
      <c r="E79" s="6"/>
      <c r="F79" s="6"/>
      <c r="G79" s="6"/>
    </row>
    <row r="80" spans="1:13">
      <c r="A80" s="10"/>
      <c r="B80" s="37" t="s">
        <v>8</v>
      </c>
      <c r="C80" s="22"/>
      <c r="D80" s="21"/>
      <c r="E80" s="22">
        <f>SUM(E82:E84)</f>
        <v>181546.80499999999</v>
      </c>
      <c r="F80" s="22">
        <f>SUM(F82:F84)</f>
        <v>1363093.6099999999</v>
      </c>
      <c r="G80" s="22">
        <f t="shared" ref="F80:G80" si="13">SUM(G82:G84)</f>
        <v>1181546.8049999999</v>
      </c>
    </row>
    <row r="81" spans="1:9">
      <c r="B81" s="31"/>
      <c r="D81" s="21"/>
      <c r="E81" s="6"/>
      <c r="F81" s="6"/>
      <c r="G81" s="6"/>
    </row>
    <row r="82" spans="1:9">
      <c r="B82" s="36" t="s">
        <v>54</v>
      </c>
      <c r="D82" s="21"/>
      <c r="E82" s="6">
        <v>118275</v>
      </c>
      <c r="F82" s="6">
        <v>236550</v>
      </c>
      <c r="G82" s="6">
        <v>118275</v>
      </c>
      <c r="I82" s="29" t="s">
        <v>55</v>
      </c>
    </row>
    <row r="83" spans="1:9">
      <c r="B83" s="36" t="s">
        <v>56</v>
      </c>
      <c r="D83" s="21"/>
      <c r="E83" s="6">
        <v>63271.805</v>
      </c>
      <c r="F83" s="6">
        <v>126543.61</v>
      </c>
      <c r="G83" s="6">
        <v>63271.805</v>
      </c>
      <c r="I83" s="29" t="s">
        <v>58</v>
      </c>
    </row>
    <row r="84" spans="1:9">
      <c r="B84" s="36" t="s">
        <v>59</v>
      </c>
      <c r="D84" s="21"/>
      <c r="E84" s="6"/>
      <c r="F84" s="6">
        <v>1000000</v>
      </c>
      <c r="G84" s="6">
        <v>1000000</v>
      </c>
    </row>
    <row r="85" spans="1:9">
      <c r="B85" s="36"/>
      <c r="D85" s="21"/>
      <c r="E85" s="6"/>
      <c r="F85" s="6"/>
      <c r="G85" s="6"/>
    </row>
    <row r="86" spans="1:9" ht="15.6">
      <c r="B86" s="55" t="s">
        <v>48</v>
      </c>
      <c r="C86" s="43"/>
      <c r="D86" s="11">
        <f>1935936-(2*375715)</f>
        <v>1184506</v>
      </c>
      <c r="E86" s="11">
        <f>+E69+E71+E73+E80</f>
        <v>668999.80499999993</v>
      </c>
      <c r="F86" s="11">
        <f>+F69+F71+F73+F80</f>
        <v>1084890.4149999998</v>
      </c>
      <c r="G86" s="11">
        <f>+G69+G71+G73+G80</f>
        <v>1271384.2199999997</v>
      </c>
    </row>
    <row r="87" spans="1:9" ht="377.1">
      <c r="E87" s="52" t="s">
        <v>49</v>
      </c>
      <c r="F87" s="58" t="s">
        <v>50</v>
      </c>
      <c r="G87" s="58" t="s">
        <v>51</v>
      </c>
    </row>
    <row r="88" spans="1:9">
      <c r="D88" s="21"/>
      <c r="E88" s="6"/>
      <c r="F88" s="6"/>
      <c r="G88" s="6"/>
    </row>
    <row r="89" spans="1:9" ht="13.5" thickBot="1">
      <c r="A89" s="42"/>
      <c r="B89" s="46"/>
      <c r="D89" s="21"/>
      <c r="E89" s="56"/>
      <c r="F89" s="6"/>
      <c r="G89" s="6"/>
    </row>
    <row r="90" spans="1:9" ht="13.5" outlineLevel="2" thickBot="1">
      <c r="A90" s="42"/>
      <c r="B90" s="47" t="s">
        <v>52</v>
      </c>
      <c r="C90" s="48"/>
      <c r="D90" s="14" t="e">
        <f>+SUM(#REF!)</f>
        <v>#REF!</v>
      </c>
      <c r="E90" s="16">
        <v>0</v>
      </c>
      <c r="F90" s="16">
        <v>0</v>
      </c>
      <c r="G90" s="16">
        <v>0</v>
      </c>
    </row>
    <row r="91" spans="1:9" ht="13.5" outlineLevel="2" thickBot="1">
      <c r="A91" s="42"/>
      <c r="B91" s="49" t="s">
        <v>53</v>
      </c>
      <c r="C91" s="50"/>
      <c r="D91" s="15" t="e">
        <f>+SUM(#REF!)</f>
        <v>#REF!</v>
      </c>
      <c r="E91" s="13">
        <v>0</v>
      </c>
      <c r="F91" s="13">
        <v>0</v>
      </c>
      <c r="G91" s="13">
        <v>0</v>
      </c>
    </row>
    <row r="92" spans="1:9">
      <c r="D92" s="21"/>
    </row>
    <row r="105" ht="12" customHeight="1"/>
  </sheetData>
  <pageMargins left="0.7" right="0.7" top="0.75" bottom="0.75" header="0.3" footer="0.3"/>
  <pageSetup paperSize="8" scale="3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0F11-493D-4A70-8CBE-73E73D54DE41}">
  <dimension ref="A1:D7"/>
  <sheetViews>
    <sheetView workbookViewId="0"/>
  </sheetViews>
  <sheetFormatPr defaultRowHeight="14.45"/>
  <sheetData>
    <row r="1" spans="1:4">
      <c r="A1">
        <v>1753287404853</v>
      </c>
      <c r="B1" t="s">
        <v>67</v>
      </c>
      <c r="C1" t="s">
        <v>68</v>
      </c>
      <c r="D1">
        <v>6</v>
      </c>
    </row>
    <row r="2" spans="1:4">
      <c r="A2">
        <v>1753287405083</v>
      </c>
      <c r="B2" t="s">
        <v>69</v>
      </c>
      <c r="C2" t="s">
        <v>70</v>
      </c>
      <c r="D2" t="s">
        <v>71</v>
      </c>
    </row>
    <row r="3" spans="1:4">
      <c r="A3">
        <v>1753287405085</v>
      </c>
      <c r="B3" t="s">
        <v>69</v>
      </c>
      <c r="C3" t="s">
        <v>72</v>
      </c>
      <c r="D3" t="s">
        <v>73</v>
      </c>
    </row>
    <row r="4" spans="1:4">
      <c r="A4">
        <v>1753287405085</v>
      </c>
      <c r="B4" t="s">
        <v>69</v>
      </c>
      <c r="C4" t="s">
        <v>74</v>
      </c>
      <c r="D4" t="s">
        <v>75</v>
      </c>
    </row>
    <row r="5" spans="1:4">
      <c r="A5">
        <v>1753287405085</v>
      </c>
      <c r="B5" t="s">
        <v>69</v>
      </c>
      <c r="C5" t="s">
        <v>76</v>
      </c>
      <c r="D5" t="s">
        <v>77</v>
      </c>
    </row>
    <row r="6" spans="1:4">
      <c r="A6">
        <v>1753287405085</v>
      </c>
      <c r="B6" t="s">
        <v>69</v>
      </c>
      <c r="C6" t="s">
        <v>78</v>
      </c>
      <c r="D6" t="s">
        <v>79</v>
      </c>
    </row>
    <row r="7" spans="1:4">
      <c r="A7">
        <v>1753287405085</v>
      </c>
      <c r="B7" t="s">
        <v>69</v>
      </c>
      <c r="C7" s="60" t="s">
        <v>80</v>
      </c>
      <c r="D7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5ACAF-7114-4D80-9235-C34170B01C1D}">
  <dimension ref="A1:D1"/>
  <sheetViews>
    <sheetView workbookViewId="0"/>
  </sheetViews>
  <sheetFormatPr defaultRowHeight="14.45"/>
  <sheetData>
    <row r="1" spans="1:4">
      <c r="A1">
        <v>1753287404920</v>
      </c>
      <c r="B1" t="s">
        <v>67</v>
      </c>
      <c r="C1" t="s">
        <v>68</v>
      </c>
      <c r="D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A538-4B70-450E-8D2A-9A0C8E94D94C}">
  <dimension ref="A1:D1"/>
  <sheetViews>
    <sheetView workbookViewId="0"/>
  </sheetViews>
  <sheetFormatPr defaultRowHeight="14.45"/>
  <sheetData>
    <row r="1" spans="1:4">
      <c r="A1">
        <v>1753287404991</v>
      </c>
      <c r="B1" t="s">
        <v>67</v>
      </c>
      <c r="C1" t="s">
        <v>68</v>
      </c>
      <c r="D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3F1B-A05B-4AD9-AD68-639237794530}">
  <dimension ref="A1:D1"/>
  <sheetViews>
    <sheetView workbookViewId="0"/>
  </sheetViews>
  <sheetFormatPr defaultRowHeight="14.45"/>
  <sheetData>
    <row r="1" spans="1:4">
      <c r="A1">
        <v>1753287405066</v>
      </c>
      <c r="B1" t="s">
        <v>67</v>
      </c>
      <c r="C1" t="s">
        <v>68</v>
      </c>
      <c r="D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04C2C06F8CEE4380A765945E13A593" ma:contentTypeVersion="4" ma:contentTypeDescription="Creare un nuovo documento." ma:contentTypeScope="" ma:versionID="480e92da0a3cfd1d8c075512a30f7fe2">
  <xsd:schema xmlns:xsd="http://www.w3.org/2001/XMLSchema" xmlns:xs="http://www.w3.org/2001/XMLSchema" xmlns:p="http://schemas.microsoft.com/office/2006/metadata/properties" xmlns:ns2="46dede86-ce3f-4ead-b5df-8c1125d69f7c" targetNamespace="http://schemas.microsoft.com/office/2006/metadata/properties" ma:root="true" ma:fieldsID="c078c7ee542c191c18b0b17884c8461c" ns2:_="">
    <xsd:import namespace="46dede86-ce3f-4ead-b5df-8c1125d69f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dede86-ce3f-4ead-b5df-8c1125d69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datasnipper xmlns="http://datasnipperlegacy" workbookId="7cf937dc-41d9-4cd6-98f3-de069f97573d" dataSnipperSheetDeleted="false" guid="2786b885-7176-4fda-87ba-23fc54c4b268" revision="2">
  <settings xmlns="" guid="19f49dd2-605c-436f-8416-ef2c387993be">
    <setting type="boolean" value="True" name="embed-documents" guid="2f23b82d-35ce-4efa-b125-30cca91e1b6b"/>
  </settings>
</datasnipper>
</file>

<file path=customXml/item4.xml><?xml version="1.0" encoding="utf-8"?>
<datasnipper xmlns="http://datasnipper" xmlMigrated="true" guid="1ecb059e-8ca1-450c-9aca-060e559f9e09" revision="3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FB5D4D-C7CA-4914-97A5-73EF2E2F698A}"/>
</file>

<file path=customXml/itemProps2.xml><?xml version="1.0" encoding="utf-8"?>
<ds:datastoreItem xmlns:ds="http://schemas.openxmlformats.org/officeDocument/2006/customXml" ds:itemID="{B99FAB1F-0109-43DD-8DED-F1435F427649}"/>
</file>

<file path=customXml/itemProps3.xml><?xml version="1.0" encoding="utf-8"?>
<ds:datastoreItem xmlns:ds="http://schemas.openxmlformats.org/officeDocument/2006/customXml" ds:itemID="{F47451B7-468E-43D9-A4C7-654CF4CDEBD5}"/>
</file>

<file path=customXml/itemProps4.xml><?xml version="1.0" encoding="utf-8"?>
<ds:datastoreItem xmlns:ds="http://schemas.openxmlformats.org/officeDocument/2006/customXml" ds:itemID="{972279B5-ADF6-4684-B2D6-7879AAD47226}"/>
</file>

<file path=customXml/itemProps5.xml><?xml version="1.0" encoding="utf-8"?>
<ds:datastoreItem xmlns:ds="http://schemas.openxmlformats.org/officeDocument/2006/customXml" ds:itemID="{206CA838-74C3-49E5-A428-DCF24C9119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Verrelli</dc:creator>
  <cp:keywords/>
  <dc:description/>
  <cp:lastModifiedBy>Utente guest</cp:lastModifiedBy>
  <cp:revision/>
  <dcterms:created xsi:type="dcterms:W3CDTF">2023-03-01T11:02:37Z</dcterms:created>
  <dcterms:modified xsi:type="dcterms:W3CDTF">2025-10-20T12:06:11Z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0x0101003604C2C06F8CEE4380A765945E13A593</vt:lpwstr>
  </property>
</Properties>
</file>