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nDiskSecureAccess\chiavetta 17.4.2021\Concorsi\Fondazione RESTART\Bilanci\Previsionale 2024\"/>
    </mc:Choice>
  </mc:AlternateContent>
  <xr:revisionPtr revIDLastSave="0" documentId="13_ncr:1_{8AF82AFC-5A5A-4450-B57D-9D9C39C644B5}" xr6:coauthVersionLast="47" xr6:coauthVersionMax="47" xr10:uidLastSave="{00000000-0000-0000-0000-000000000000}"/>
  <bookViews>
    <workbookView xWindow="-108" yWindow="-108" windowWidth="23256" windowHeight="12456" xr2:uid="{26C12608-E491-42C9-972C-E0D96860B227}"/>
  </bookViews>
  <sheets>
    <sheet name="Budget 3M" sheetId="1" r:id="rId1"/>
    <sheet name="Recap&amp;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5" i="1" l="1"/>
  <c r="P115" i="1"/>
  <c r="P96" i="1" s="1"/>
  <c r="O115" i="1"/>
  <c r="O96" i="1" s="1"/>
  <c r="N115" i="1"/>
  <c r="N96" i="1" s="1"/>
  <c r="O162" i="1"/>
  <c r="P162" i="1"/>
  <c r="Q162" i="1"/>
  <c r="N162" i="1"/>
  <c r="L115" i="1"/>
  <c r="L96" i="1" s="1"/>
  <c r="K115" i="1"/>
  <c r="K96" i="1" s="1"/>
  <c r="J115" i="1"/>
  <c r="J96" i="1" s="1"/>
  <c r="J162" i="1"/>
  <c r="K162" i="1"/>
  <c r="L162" i="1"/>
  <c r="I162" i="1"/>
  <c r="I115" i="1"/>
  <c r="W112" i="1"/>
  <c r="W113" i="1"/>
  <c r="W114" i="1"/>
  <c r="R112" i="1"/>
  <c r="R113" i="1"/>
  <c r="R114" i="1"/>
  <c r="M112" i="1"/>
  <c r="M113" i="1"/>
  <c r="M114" i="1"/>
  <c r="D12" i="2"/>
  <c r="C12" i="2" l="1"/>
  <c r="W177" i="1"/>
  <c r="W166" i="1"/>
  <c r="W164" i="1" s="1"/>
  <c r="W162" i="1"/>
  <c r="W160" i="1" s="1"/>
  <c r="W155" i="1"/>
  <c r="W141" i="1"/>
  <c r="W138" i="1"/>
  <c r="W136" i="1"/>
  <c r="W135" i="1"/>
  <c r="W128" i="1"/>
  <c r="W126" i="1"/>
  <c r="W125" i="1"/>
  <c r="W124" i="1"/>
  <c r="W123" i="1"/>
  <c r="W119" i="1"/>
  <c r="W117" i="1" s="1"/>
  <c r="W115" i="1"/>
  <c r="W111" i="1"/>
  <c r="W110" i="1"/>
  <c r="W108" i="1"/>
  <c r="W105" i="1"/>
  <c r="W104" i="1"/>
  <c r="W103" i="1"/>
  <c r="W102" i="1"/>
  <c r="W100" i="1"/>
  <c r="W99" i="1"/>
  <c r="W98" i="1"/>
  <c r="W94" i="1"/>
  <c r="W92" i="1"/>
  <c r="W83" i="1"/>
  <c r="W78" i="1"/>
  <c r="W73" i="1"/>
  <c r="W61" i="1"/>
  <c r="W60" i="1"/>
  <c r="W59" i="1"/>
  <c r="W58" i="1"/>
  <c r="W56" i="1"/>
  <c r="W55" i="1"/>
  <c r="W54" i="1"/>
  <c r="W53" i="1"/>
  <c r="W51" i="1"/>
  <c r="W50" i="1"/>
  <c r="W49" i="1"/>
  <c r="W48" i="1"/>
  <c r="W46" i="1"/>
  <c r="W45" i="1"/>
  <c r="W44" i="1"/>
  <c r="W43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9" i="1"/>
  <c r="R177" i="1"/>
  <c r="R166" i="1"/>
  <c r="R164" i="1" s="1"/>
  <c r="R141" i="1"/>
  <c r="R138" i="1"/>
  <c r="R136" i="1"/>
  <c r="R135" i="1"/>
  <c r="R128" i="1"/>
  <c r="R126" i="1"/>
  <c r="R125" i="1"/>
  <c r="R124" i="1"/>
  <c r="R123" i="1"/>
  <c r="R119" i="1"/>
  <c r="R117" i="1" s="1"/>
  <c r="R111" i="1"/>
  <c r="R110" i="1"/>
  <c r="R108" i="1"/>
  <c r="R107" i="1"/>
  <c r="R106" i="1"/>
  <c r="R105" i="1"/>
  <c r="R104" i="1"/>
  <c r="R103" i="1"/>
  <c r="R101" i="1"/>
  <c r="R94" i="1"/>
  <c r="R92" i="1" s="1"/>
  <c r="R83" i="1"/>
  <c r="R78" i="1"/>
  <c r="R73" i="1"/>
  <c r="R71" i="1"/>
  <c r="R69" i="1"/>
  <c r="R67" i="1" s="1"/>
  <c r="R68" i="1"/>
  <c r="R66" i="1"/>
  <c r="R65" i="1"/>
  <c r="R64" i="1"/>
  <c r="R63" i="1"/>
  <c r="R61" i="1"/>
  <c r="R60" i="1"/>
  <c r="R59" i="1"/>
  <c r="R58" i="1"/>
  <c r="R56" i="1"/>
  <c r="R55" i="1"/>
  <c r="R54" i="1"/>
  <c r="R53" i="1"/>
  <c r="R51" i="1"/>
  <c r="R50" i="1"/>
  <c r="R49" i="1"/>
  <c r="R48" i="1"/>
  <c r="R46" i="1"/>
  <c r="R45" i="1"/>
  <c r="R44" i="1"/>
  <c r="R43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9" i="1"/>
  <c r="M166" i="1"/>
  <c r="M164" i="1" s="1"/>
  <c r="M158" i="1"/>
  <c r="M157" i="1"/>
  <c r="M138" i="1"/>
  <c r="M136" i="1"/>
  <c r="M135" i="1"/>
  <c r="M125" i="1"/>
  <c r="M123" i="1"/>
  <c r="M119" i="1"/>
  <c r="M111" i="1"/>
  <c r="M110" i="1"/>
  <c r="M108" i="1"/>
  <c r="M107" i="1"/>
  <c r="M106" i="1"/>
  <c r="M105" i="1"/>
  <c r="M104" i="1"/>
  <c r="M103" i="1"/>
  <c r="M101" i="1"/>
  <c r="M94" i="1"/>
  <c r="M71" i="1"/>
  <c r="M69" i="1"/>
  <c r="M67" i="1" s="1"/>
  <c r="M68" i="1"/>
  <c r="M66" i="1"/>
  <c r="M65" i="1"/>
  <c r="M64" i="1"/>
  <c r="M63" i="1"/>
  <c r="M61" i="1"/>
  <c r="M60" i="1"/>
  <c r="M59" i="1"/>
  <c r="M58" i="1"/>
  <c r="M56" i="1"/>
  <c r="M55" i="1"/>
  <c r="M54" i="1"/>
  <c r="M53" i="1"/>
  <c r="M51" i="1"/>
  <c r="M50" i="1"/>
  <c r="M49" i="1"/>
  <c r="M47" i="1" s="1"/>
  <c r="M48" i="1"/>
  <c r="M46" i="1"/>
  <c r="M45" i="1"/>
  <c r="M44" i="1"/>
  <c r="M43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77" i="1"/>
  <c r="M141" i="1"/>
  <c r="M128" i="1"/>
  <c r="M117" i="1"/>
  <c r="M92" i="1"/>
  <c r="M83" i="1"/>
  <c r="M78" i="1"/>
  <c r="M73" i="1"/>
  <c r="N7" i="1"/>
  <c r="N8" i="1"/>
  <c r="N9" i="1"/>
  <c r="N15" i="1"/>
  <c r="N42" i="1"/>
  <c r="N47" i="1"/>
  <c r="N52" i="1"/>
  <c r="N57" i="1"/>
  <c r="N62" i="1"/>
  <c r="N67" i="1"/>
  <c r="N72" i="1"/>
  <c r="N73" i="1"/>
  <c r="N78" i="1"/>
  <c r="N83" i="1"/>
  <c r="N92" i="1"/>
  <c r="N98" i="1"/>
  <c r="N99" i="1"/>
  <c r="N100" i="1"/>
  <c r="N102" i="1"/>
  <c r="N117" i="1"/>
  <c r="N121" i="1"/>
  <c r="N128" i="1"/>
  <c r="N133" i="1"/>
  <c r="N141" i="1"/>
  <c r="N155" i="1"/>
  <c r="N156" i="1"/>
  <c r="N157" i="1"/>
  <c r="N158" i="1"/>
  <c r="N160" i="1"/>
  <c r="N164" i="1"/>
  <c r="N177" i="1"/>
  <c r="F164" i="1"/>
  <c r="G164" i="1"/>
  <c r="H164" i="1"/>
  <c r="I164" i="1"/>
  <c r="J164" i="1"/>
  <c r="K164" i="1"/>
  <c r="L164" i="1"/>
  <c r="O164" i="1"/>
  <c r="P164" i="1"/>
  <c r="Q164" i="1"/>
  <c r="S164" i="1"/>
  <c r="T164" i="1"/>
  <c r="U164" i="1"/>
  <c r="V164" i="1"/>
  <c r="E164" i="1"/>
  <c r="R42" i="1" l="1"/>
  <c r="R52" i="1"/>
  <c r="W121" i="1"/>
  <c r="R47" i="1"/>
  <c r="W47" i="1"/>
  <c r="W57" i="1"/>
  <c r="M57" i="1"/>
  <c r="W52" i="1"/>
  <c r="R121" i="1"/>
  <c r="R57" i="1"/>
  <c r="W42" i="1"/>
  <c r="W15" i="1"/>
  <c r="M42" i="1"/>
  <c r="M52" i="1"/>
  <c r="M62" i="1"/>
  <c r="R15" i="1"/>
  <c r="R62" i="1"/>
  <c r="N153" i="1"/>
  <c r="M15" i="1"/>
  <c r="N88" i="1"/>
  <c r="G10" i="2"/>
  <c r="Q98" i="1"/>
  <c r="Q99" i="1"/>
  <c r="Q100" i="1"/>
  <c r="H109" i="1"/>
  <c r="Q109" i="1"/>
  <c r="R109" i="1" s="1"/>
  <c r="L109" i="1"/>
  <c r="M109" i="1" s="1"/>
  <c r="S178" i="1"/>
  <c r="T178" i="1"/>
  <c r="U178" i="1"/>
  <c r="V178" i="1"/>
  <c r="E72" i="1"/>
  <c r="F72" i="1"/>
  <c r="A78" i="1"/>
  <c r="A83" i="1" s="1"/>
  <c r="V177" i="1"/>
  <c r="U177" i="1"/>
  <c r="T177" i="1"/>
  <c r="S177" i="1"/>
  <c r="Q177" i="1"/>
  <c r="P177" i="1"/>
  <c r="O177" i="1"/>
  <c r="L177" i="1"/>
  <c r="K177" i="1"/>
  <c r="J177" i="1"/>
  <c r="I177" i="1"/>
  <c r="J126" i="1"/>
  <c r="K126" i="1"/>
  <c r="L126" i="1"/>
  <c r="I126" i="1"/>
  <c r="J124" i="1"/>
  <c r="K124" i="1"/>
  <c r="L124" i="1"/>
  <c r="I124" i="1"/>
  <c r="E160" i="1"/>
  <c r="F160" i="1"/>
  <c r="G160" i="1"/>
  <c r="H160" i="1"/>
  <c r="S160" i="1"/>
  <c r="T160" i="1"/>
  <c r="U160" i="1"/>
  <c r="V160" i="1"/>
  <c r="M124" i="1" l="1"/>
  <c r="N168" i="1"/>
  <c r="N170" i="1" s="1"/>
  <c r="M126" i="1"/>
  <c r="I72" i="1"/>
  <c r="J72" i="1"/>
  <c r="K72" i="1"/>
  <c r="L72" i="1"/>
  <c r="O72" i="1"/>
  <c r="P72" i="1"/>
  <c r="Q72" i="1"/>
  <c r="S121" i="1"/>
  <c r="T121" i="1"/>
  <c r="U121" i="1"/>
  <c r="V121" i="1"/>
  <c r="O158" i="1"/>
  <c r="P158" i="1"/>
  <c r="Q158" i="1"/>
  <c r="S158" i="1"/>
  <c r="T158" i="1"/>
  <c r="U158" i="1"/>
  <c r="V158" i="1"/>
  <c r="O157" i="1"/>
  <c r="P157" i="1"/>
  <c r="Q157" i="1"/>
  <c r="S157" i="1"/>
  <c r="T157" i="1"/>
  <c r="U157" i="1"/>
  <c r="V157" i="1"/>
  <c r="K156" i="1"/>
  <c r="L156" i="1"/>
  <c r="O156" i="1"/>
  <c r="P156" i="1"/>
  <c r="Q156" i="1"/>
  <c r="S156" i="1"/>
  <c r="T156" i="1"/>
  <c r="U156" i="1"/>
  <c r="V156" i="1"/>
  <c r="M72" i="1" l="1"/>
  <c r="M88" i="1" s="1"/>
  <c r="M156" i="1"/>
  <c r="W156" i="1"/>
  <c r="W158" i="1"/>
  <c r="W157" i="1"/>
  <c r="W153" i="1" s="1"/>
  <c r="R72" i="1"/>
  <c r="R88" i="1" s="1"/>
  <c r="R158" i="1"/>
  <c r="M121" i="1"/>
  <c r="R156" i="1"/>
  <c r="R157" i="1"/>
  <c r="S153" i="1"/>
  <c r="T153" i="1"/>
  <c r="U153" i="1"/>
  <c r="V153" i="1"/>
  <c r="S141" i="1"/>
  <c r="T141" i="1"/>
  <c r="U141" i="1"/>
  <c r="V141" i="1"/>
  <c r="T133" i="1"/>
  <c r="U133" i="1"/>
  <c r="V133" i="1"/>
  <c r="S128" i="1"/>
  <c r="T128" i="1"/>
  <c r="U128" i="1"/>
  <c r="V128" i="1"/>
  <c r="P160" i="1"/>
  <c r="Q160" i="1"/>
  <c r="J160" i="1"/>
  <c r="K160" i="1"/>
  <c r="L160" i="1"/>
  <c r="V109" i="1"/>
  <c r="W109" i="1" s="1"/>
  <c r="T107" i="1"/>
  <c r="U107" i="1"/>
  <c r="V107" i="1"/>
  <c r="S107" i="1"/>
  <c r="S117" i="1"/>
  <c r="T117" i="1"/>
  <c r="U117" i="1"/>
  <c r="V117" i="1"/>
  <c r="T106" i="1"/>
  <c r="U106" i="1"/>
  <c r="V106" i="1"/>
  <c r="S106" i="1"/>
  <c r="T101" i="1"/>
  <c r="U101" i="1"/>
  <c r="V101" i="1"/>
  <c r="S101" i="1"/>
  <c r="S92" i="1"/>
  <c r="T92" i="1"/>
  <c r="U92" i="1"/>
  <c r="V92" i="1"/>
  <c r="S82" i="1"/>
  <c r="T82" i="1"/>
  <c r="U82" i="1"/>
  <c r="V82" i="1"/>
  <c r="S83" i="1"/>
  <c r="S81" i="1" s="1"/>
  <c r="T83" i="1"/>
  <c r="T81" i="1" s="1"/>
  <c r="U83" i="1"/>
  <c r="U81" i="1" s="1"/>
  <c r="V83" i="1"/>
  <c r="V81" i="1" s="1"/>
  <c r="S42" i="1"/>
  <c r="T42" i="1"/>
  <c r="U42" i="1"/>
  <c r="V42" i="1"/>
  <c r="S47" i="1"/>
  <c r="T47" i="1"/>
  <c r="U47" i="1"/>
  <c r="V47" i="1"/>
  <c r="S52" i="1"/>
  <c r="T52" i="1"/>
  <c r="U52" i="1"/>
  <c r="V52" i="1"/>
  <c r="S57" i="1"/>
  <c r="T57" i="1"/>
  <c r="U57" i="1"/>
  <c r="V57" i="1"/>
  <c r="S15" i="1"/>
  <c r="T15" i="1"/>
  <c r="U15" i="1"/>
  <c r="V15" i="1"/>
  <c r="S8" i="1"/>
  <c r="S7" i="1"/>
  <c r="T6" i="1"/>
  <c r="U6" i="1" s="1"/>
  <c r="V6" i="1" s="1"/>
  <c r="T4" i="1"/>
  <c r="T5" i="1" s="1"/>
  <c r="U4" i="1" s="1"/>
  <c r="U5" i="1" s="1"/>
  <c r="V4" i="1" s="1"/>
  <c r="V5" i="1" s="1"/>
  <c r="V8" i="1" s="1"/>
  <c r="H107" i="1"/>
  <c r="H104" i="1"/>
  <c r="J102" i="1"/>
  <c r="K102" i="1"/>
  <c r="L102" i="1"/>
  <c r="O102" i="1"/>
  <c r="P102" i="1"/>
  <c r="Q102" i="1"/>
  <c r="I102" i="1"/>
  <c r="J100" i="1"/>
  <c r="K100" i="1"/>
  <c r="L100" i="1"/>
  <c r="O100" i="1"/>
  <c r="P100" i="1"/>
  <c r="I100" i="1"/>
  <c r="J99" i="1"/>
  <c r="K99" i="1"/>
  <c r="L99" i="1"/>
  <c r="O99" i="1"/>
  <c r="P99" i="1"/>
  <c r="I99" i="1"/>
  <c r="J98" i="1"/>
  <c r="K98" i="1"/>
  <c r="L98" i="1"/>
  <c r="O98" i="1"/>
  <c r="P98" i="1"/>
  <c r="I98" i="1"/>
  <c r="H137" i="1"/>
  <c r="J133" i="1"/>
  <c r="K133" i="1"/>
  <c r="L133" i="1"/>
  <c r="P133" i="1"/>
  <c r="Q133" i="1"/>
  <c r="H110" i="1"/>
  <c r="E121" i="1"/>
  <c r="F121" i="1"/>
  <c r="G121" i="1"/>
  <c r="H121" i="1"/>
  <c r="I121" i="1"/>
  <c r="J121" i="1"/>
  <c r="K121" i="1"/>
  <c r="L121" i="1"/>
  <c r="O121" i="1"/>
  <c r="P121" i="1"/>
  <c r="Q121" i="1"/>
  <c r="W106" i="1" l="1"/>
  <c r="W107" i="1"/>
  <c r="R98" i="1"/>
  <c r="R102" i="1"/>
  <c r="M99" i="1"/>
  <c r="S133" i="1"/>
  <c r="W137" i="1"/>
  <c r="W133" i="1" s="1"/>
  <c r="W101" i="1"/>
  <c r="W96" i="1" s="1"/>
  <c r="W168" i="1" s="1"/>
  <c r="I133" i="1"/>
  <c r="M137" i="1"/>
  <c r="M133" i="1" s="1"/>
  <c r="R100" i="1"/>
  <c r="O160" i="1"/>
  <c r="R162" i="1"/>
  <c r="R160" i="1" s="1"/>
  <c r="M98" i="1"/>
  <c r="R99" i="1"/>
  <c r="I160" i="1"/>
  <c r="M162" i="1"/>
  <c r="M160" i="1" s="1"/>
  <c r="O133" i="1"/>
  <c r="R137" i="1"/>
  <c r="R133" i="1" s="1"/>
  <c r="M102" i="1"/>
  <c r="M100" i="1"/>
  <c r="V79" i="1"/>
  <c r="U80" i="1"/>
  <c r="U78" i="1" s="1"/>
  <c r="S80" i="1"/>
  <c r="S78" i="1" s="1"/>
  <c r="U8" i="1"/>
  <c r="T80" i="1"/>
  <c r="T78" i="1" s="1"/>
  <c r="T7" i="1"/>
  <c r="U7" i="1"/>
  <c r="T79" i="1"/>
  <c r="V7" i="1"/>
  <c r="S79" i="1"/>
  <c r="V80" i="1"/>
  <c r="V78" i="1" s="1"/>
  <c r="T8" i="1"/>
  <c r="U79" i="1"/>
  <c r="V76" i="1" l="1"/>
  <c r="T76" i="1"/>
  <c r="U77" i="1"/>
  <c r="U75" i="1" s="1"/>
  <c r="S77" i="1"/>
  <c r="S75" i="1" s="1"/>
  <c r="S76" i="1"/>
  <c r="V77" i="1"/>
  <c r="V75" i="1" s="1"/>
  <c r="T77" i="1"/>
  <c r="T75" i="1" s="1"/>
  <c r="U76" i="1"/>
  <c r="H15" i="1"/>
  <c r="G15" i="1"/>
  <c r="F15" i="1"/>
  <c r="E15" i="1"/>
  <c r="L15" i="1"/>
  <c r="U74" i="1" l="1"/>
  <c r="U72" i="1" s="1"/>
  <c r="U96" i="1" s="1"/>
  <c r="U168" i="1" s="1"/>
  <c r="T73" i="1"/>
  <c r="V73" i="1"/>
  <c r="S74" i="1"/>
  <c r="S72" i="1" s="1"/>
  <c r="T74" i="1"/>
  <c r="T72" i="1" s="1"/>
  <c r="T96" i="1" s="1"/>
  <c r="T168" i="1" s="1"/>
  <c r="S73" i="1"/>
  <c r="V74" i="1"/>
  <c r="V72" i="1" s="1"/>
  <c r="V96" i="1" s="1"/>
  <c r="V168" i="1" s="1"/>
  <c r="U73" i="1"/>
  <c r="S96" i="1" l="1"/>
  <c r="S168" i="1" s="1"/>
  <c r="W72" i="1"/>
  <c r="G11" i="2"/>
  <c r="U71" i="1"/>
  <c r="U69" i="1" s="1"/>
  <c r="V70" i="1"/>
  <c r="T70" i="1"/>
  <c r="T71" i="1"/>
  <c r="T69" i="1" s="1"/>
  <c r="S70" i="1"/>
  <c r="V71" i="1"/>
  <c r="V69" i="1" s="1"/>
  <c r="S71" i="1"/>
  <c r="U70" i="1"/>
  <c r="F101" i="1"/>
  <c r="F106" i="1"/>
  <c r="G106" i="1"/>
  <c r="H106" i="1"/>
  <c r="E106" i="1"/>
  <c r="G101" i="1"/>
  <c r="H101" i="1"/>
  <c r="E101" i="1"/>
  <c r="Q155" i="1"/>
  <c r="P155" i="1"/>
  <c r="O155" i="1"/>
  <c r="L155" i="1"/>
  <c r="K155" i="1"/>
  <c r="J155" i="1"/>
  <c r="I155" i="1"/>
  <c r="H155" i="1"/>
  <c r="H153" i="1" s="1"/>
  <c r="G155" i="1"/>
  <c r="G153" i="1" s="1"/>
  <c r="F155" i="1"/>
  <c r="F153" i="1" s="1"/>
  <c r="E155" i="1"/>
  <c r="E153" i="1" s="1"/>
  <c r="M155" i="1" l="1"/>
  <c r="M153" i="1" s="1"/>
  <c r="S69" i="1"/>
  <c r="W69" i="1" s="1"/>
  <c r="W67" i="1" s="1"/>
  <c r="W71" i="1"/>
  <c r="R155" i="1"/>
  <c r="R153" i="1" s="1"/>
  <c r="T67" i="1"/>
  <c r="Q96" i="1"/>
  <c r="V68" i="1"/>
  <c r="V66" i="1" s="1"/>
  <c r="S67" i="1"/>
  <c r="U68" i="1"/>
  <c r="U66" i="1" s="1"/>
  <c r="V67" i="1"/>
  <c r="T68" i="1"/>
  <c r="T66" i="1" s="1"/>
  <c r="S68" i="1"/>
  <c r="U67" i="1"/>
  <c r="I153" i="1"/>
  <c r="J153" i="1"/>
  <c r="K153" i="1"/>
  <c r="L153" i="1"/>
  <c r="Q153" i="1"/>
  <c r="O153" i="1"/>
  <c r="P153" i="1"/>
  <c r="H96" i="1"/>
  <c r="G96" i="1"/>
  <c r="F96" i="1"/>
  <c r="E96" i="1"/>
  <c r="S66" i="1" l="1"/>
  <c r="W66" i="1" s="1"/>
  <c r="W68" i="1"/>
  <c r="I96" i="1"/>
  <c r="M115" i="1"/>
  <c r="M96" i="1" s="1"/>
  <c r="M168" i="1" s="1"/>
  <c r="M170" i="1" s="1"/>
  <c r="T64" i="1"/>
  <c r="R115" i="1"/>
  <c r="R96" i="1" s="1"/>
  <c r="R168" i="1" s="1"/>
  <c r="R170" i="1" s="1"/>
  <c r="U65" i="1"/>
  <c r="U63" i="1" s="1"/>
  <c r="V64" i="1"/>
  <c r="V65" i="1"/>
  <c r="V63" i="1" s="1"/>
  <c r="S64" i="1"/>
  <c r="T65" i="1"/>
  <c r="T63" i="1" s="1"/>
  <c r="S65" i="1"/>
  <c r="U64" i="1"/>
  <c r="S63" i="1" l="1"/>
  <c r="W63" i="1" s="1"/>
  <c r="W65" i="1"/>
  <c r="W64" i="1"/>
  <c r="U62" i="1"/>
  <c r="U88" i="1" s="1"/>
  <c r="V62" i="1"/>
  <c r="V88" i="1" s="1"/>
  <c r="V170" i="1" s="1"/>
  <c r="T62" i="1"/>
  <c r="T88" i="1" s="1"/>
  <c r="T170" i="1" s="1"/>
  <c r="S62" i="1"/>
  <c r="S88" i="1" s="1"/>
  <c r="S170" i="1" s="1"/>
  <c r="U170" i="1"/>
  <c r="W62" i="1" l="1"/>
  <c r="W88" i="1" s="1"/>
  <c r="W170" i="1" s="1"/>
  <c r="E128" i="1"/>
  <c r="F128" i="1"/>
  <c r="G128" i="1"/>
  <c r="H128" i="1"/>
  <c r="I128" i="1"/>
  <c r="J128" i="1"/>
  <c r="K128" i="1"/>
  <c r="L128" i="1"/>
  <c r="O128" i="1"/>
  <c r="P128" i="1"/>
  <c r="Q128" i="1"/>
  <c r="G42" i="1" l="1"/>
  <c r="F141" i="1"/>
  <c r="G141" i="1"/>
  <c r="H141" i="1"/>
  <c r="I141" i="1"/>
  <c r="J141" i="1"/>
  <c r="K141" i="1"/>
  <c r="L141" i="1"/>
  <c r="O141" i="1"/>
  <c r="P141" i="1"/>
  <c r="Q141" i="1"/>
  <c r="E141" i="1"/>
  <c r="F133" i="1"/>
  <c r="G133" i="1"/>
  <c r="H133" i="1"/>
  <c r="E133" i="1"/>
  <c r="F117" i="1"/>
  <c r="G117" i="1"/>
  <c r="H117" i="1"/>
  <c r="I117" i="1"/>
  <c r="J117" i="1"/>
  <c r="K117" i="1"/>
  <c r="L117" i="1"/>
  <c r="O117" i="1"/>
  <c r="P117" i="1"/>
  <c r="Q117" i="1"/>
  <c r="E117" i="1"/>
  <c r="F92" i="1"/>
  <c r="G92" i="1"/>
  <c r="H92" i="1"/>
  <c r="I92" i="1"/>
  <c r="J92" i="1"/>
  <c r="K92" i="1"/>
  <c r="L92" i="1"/>
  <c r="O92" i="1"/>
  <c r="P92" i="1"/>
  <c r="Q92" i="1"/>
  <c r="E92" i="1"/>
  <c r="E47" i="1"/>
  <c r="E73" i="1"/>
  <c r="G83" i="1"/>
  <c r="Q83" i="1"/>
  <c r="P83" i="1"/>
  <c r="O83" i="1"/>
  <c r="L83" i="1"/>
  <c r="K83" i="1"/>
  <c r="J83" i="1"/>
  <c r="I83" i="1"/>
  <c r="H83" i="1"/>
  <c r="F83" i="1"/>
  <c r="E83" i="1"/>
  <c r="Q78" i="1"/>
  <c r="P78" i="1"/>
  <c r="O78" i="1"/>
  <c r="L78" i="1"/>
  <c r="K78" i="1"/>
  <c r="J78" i="1"/>
  <c r="I78" i="1"/>
  <c r="H78" i="1"/>
  <c r="G78" i="1"/>
  <c r="F78" i="1"/>
  <c r="E78" i="1"/>
  <c r="Q73" i="1"/>
  <c r="P73" i="1"/>
  <c r="O73" i="1"/>
  <c r="L73" i="1"/>
  <c r="K73" i="1"/>
  <c r="J73" i="1"/>
  <c r="I73" i="1"/>
  <c r="H73" i="1"/>
  <c r="G73" i="1"/>
  <c r="F73" i="1"/>
  <c r="Q67" i="1"/>
  <c r="P67" i="1"/>
  <c r="O67" i="1"/>
  <c r="L67" i="1"/>
  <c r="K67" i="1"/>
  <c r="J67" i="1"/>
  <c r="H67" i="1"/>
  <c r="G67" i="1"/>
  <c r="Q62" i="1"/>
  <c r="P62" i="1"/>
  <c r="O62" i="1"/>
  <c r="L62" i="1"/>
  <c r="K62" i="1"/>
  <c r="J62" i="1"/>
  <c r="H62" i="1"/>
  <c r="G62" i="1"/>
  <c r="F62" i="1"/>
  <c r="E62" i="1"/>
  <c r="Q57" i="1"/>
  <c r="P57" i="1"/>
  <c r="O57" i="1"/>
  <c r="L57" i="1"/>
  <c r="K57" i="1"/>
  <c r="J57" i="1"/>
  <c r="H57" i="1"/>
  <c r="G57" i="1"/>
  <c r="F57" i="1"/>
  <c r="E57" i="1"/>
  <c r="Q52" i="1"/>
  <c r="P52" i="1"/>
  <c r="O52" i="1"/>
  <c r="L52" i="1"/>
  <c r="K52" i="1"/>
  <c r="J52" i="1"/>
  <c r="H52" i="1"/>
  <c r="G52" i="1"/>
  <c r="F52" i="1"/>
  <c r="E52" i="1"/>
  <c r="Q47" i="1"/>
  <c r="P47" i="1"/>
  <c r="O47" i="1"/>
  <c r="L47" i="1"/>
  <c r="K47" i="1"/>
  <c r="J47" i="1"/>
  <c r="H47" i="1"/>
  <c r="G47" i="1"/>
  <c r="F47" i="1"/>
  <c r="F42" i="1"/>
  <c r="H42" i="1"/>
  <c r="J42" i="1"/>
  <c r="K42" i="1"/>
  <c r="L42" i="1"/>
  <c r="O42" i="1"/>
  <c r="P42" i="1"/>
  <c r="Q42" i="1"/>
  <c r="E42" i="1"/>
  <c r="I15" i="1"/>
  <c r="J15" i="1"/>
  <c r="K15" i="1"/>
  <c r="O15" i="1"/>
  <c r="P15" i="1"/>
  <c r="Q15" i="1"/>
  <c r="A42" i="1"/>
  <c r="A47" i="1" s="1"/>
  <c r="A52" i="1" s="1"/>
  <c r="A57" i="1" s="1"/>
  <c r="A62" i="1" s="1"/>
  <c r="A67" i="1" s="1"/>
  <c r="A72" i="1" s="1"/>
  <c r="O6" i="1"/>
  <c r="P6" i="1" s="1"/>
  <c r="Q6" i="1" s="1"/>
  <c r="O4" i="1"/>
  <c r="O5" i="1" s="1"/>
  <c r="I9" i="1"/>
  <c r="I8" i="1"/>
  <c r="I7" i="1"/>
  <c r="J6" i="1"/>
  <c r="K6" i="1" s="1"/>
  <c r="L6" i="1" s="1"/>
  <c r="J4" i="1"/>
  <c r="J5" i="1" s="1"/>
  <c r="J9" i="1" s="1"/>
  <c r="F6" i="1"/>
  <c r="G6" i="1" s="1"/>
  <c r="H6" i="1" s="1"/>
  <c r="F4" i="1"/>
  <c r="F5" i="1" s="1"/>
  <c r="E9" i="1"/>
  <c r="E8" i="1"/>
  <c r="E7" i="1"/>
  <c r="H168" i="1" l="1"/>
  <c r="J168" i="1"/>
  <c r="I168" i="1"/>
  <c r="G168" i="1"/>
  <c r="L168" i="1"/>
  <c r="O168" i="1"/>
  <c r="K168" i="1"/>
  <c r="F168" i="1"/>
  <c r="E168" i="1"/>
  <c r="Q168" i="1"/>
  <c r="P168" i="1"/>
  <c r="J88" i="1"/>
  <c r="Q88" i="1"/>
  <c r="L88" i="1"/>
  <c r="P88" i="1"/>
  <c r="F10" i="2" s="1"/>
  <c r="E71" i="1"/>
  <c r="E69" i="1" s="1"/>
  <c r="E70" i="1"/>
  <c r="O88" i="1"/>
  <c r="F71" i="1"/>
  <c r="F69" i="1" s="1"/>
  <c r="F70" i="1"/>
  <c r="H88" i="1"/>
  <c r="I88" i="1"/>
  <c r="K88" i="1"/>
  <c r="G88" i="1"/>
  <c r="F7" i="1"/>
  <c r="F9" i="1"/>
  <c r="G4" i="1"/>
  <c r="G5" i="1" s="1"/>
  <c r="F8" i="1"/>
  <c r="O9" i="1"/>
  <c r="O7" i="1"/>
  <c r="P4" i="1"/>
  <c r="P5" i="1" s="1"/>
  <c r="O8" i="1"/>
  <c r="J8" i="1"/>
  <c r="K4" i="1"/>
  <c r="K5" i="1" s="1"/>
  <c r="J7" i="1"/>
  <c r="K170" i="1" l="1"/>
  <c r="E10" i="2"/>
  <c r="H10" i="2" s="1"/>
  <c r="E11" i="2"/>
  <c r="F11" i="2"/>
  <c r="J170" i="1"/>
  <c r="L170" i="1"/>
  <c r="F68" i="1"/>
  <c r="F67" i="1"/>
  <c r="F88" i="1" s="1"/>
  <c r="F170" i="1" s="1"/>
  <c r="E68" i="1"/>
  <c r="E67" i="1"/>
  <c r="E88" i="1" s="1"/>
  <c r="E170" i="1" s="1"/>
  <c r="H170" i="1"/>
  <c r="P170" i="1"/>
  <c r="Q170" i="1"/>
  <c r="O170" i="1"/>
  <c r="I170" i="1"/>
  <c r="I173" i="1" s="1"/>
  <c r="G170" i="1"/>
  <c r="G7" i="1"/>
  <c r="G8" i="1"/>
  <c r="G9" i="1"/>
  <c r="H4" i="1"/>
  <c r="H5" i="1" s="1"/>
  <c r="P8" i="1"/>
  <c r="P9" i="1"/>
  <c r="P7" i="1"/>
  <c r="Q4" i="1"/>
  <c r="Q5" i="1" s="1"/>
  <c r="K9" i="1"/>
  <c r="K7" i="1"/>
  <c r="L4" i="1"/>
  <c r="L5" i="1" s="1"/>
  <c r="K8" i="1"/>
  <c r="H11" i="2" l="1"/>
  <c r="H12" i="2" s="1"/>
  <c r="M9" i="1"/>
  <c r="J173" i="1"/>
  <c r="K173" i="1" s="1"/>
  <c r="L173" i="1" s="1"/>
  <c r="M173" i="1" s="1"/>
  <c r="F12" i="2"/>
  <c r="H8" i="1"/>
  <c r="H7" i="1"/>
  <c r="H9" i="1"/>
  <c r="Q9" i="1"/>
  <c r="Q7" i="1"/>
  <c r="Q8" i="1"/>
  <c r="L9" i="1"/>
  <c r="L7" i="1"/>
  <c r="L8" i="1"/>
  <c r="N173" i="1" l="1"/>
  <c r="O173" i="1" s="1"/>
  <c r="P173" i="1" s="1"/>
  <c r="Q173" i="1" s="1"/>
  <c r="C47" i="2"/>
  <c r="E12" i="2"/>
  <c r="G12" i="2"/>
  <c r="R173" i="1" l="1"/>
  <c r="S173" i="1"/>
  <c r="T173" i="1" s="1"/>
  <c r="U173" i="1" s="1"/>
  <c r="V173" i="1" s="1"/>
  <c r="D47" i="2"/>
  <c r="E47" i="2" l="1"/>
  <c r="W1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tc={59D42132-4533-4C4F-8BEF-E237B1761CDC}</author>
    <author>tc={B1757F65-D71F-4AAC-806E-BD2B1BD27B26}</author>
    <author>tc={4060E667-51A1-465E-825F-F51142F7074F}</author>
    <author>tc={C097DEC6-7506-4CA3-9839-DC6749699BFD}</author>
    <author>tc={DD688FEC-B682-4B92-8C99-FB3E79853F55}</author>
    <author>tc={CE3FE74C-2C00-4BF6-8C24-780F830E5797}</author>
    <author>tc={7FADFB86-173B-4E43-ACF3-A0135D8B4F1D}</author>
    <author>tc={4AEC6DCD-7C28-4156-9BDD-7F63DBFFA5BA}</author>
    <author>tc={4BCB2D36-AA42-45E3-BFA6-B55B2413158F}</author>
    <author>tc={4D5AC227-1631-4746-B439-840F8CB58BED}</author>
    <author>tc={4E8B6227-5D6F-444B-AF72-AEEC6E895193}</author>
    <author>tc={B1268D40-1576-4769-90D6-7DB17693CB47}</author>
    <author>tc={768A4C0E-6A09-426C-BFF5-D227A0A9C3F7}</author>
  </authors>
  <commentList>
    <comment ref="B15" authorId="0" shapeId="0" xr:uid="{59D42132-4533-4C4F-8BEF-E237B1761CDC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le quote di competenza del 2022 non incassate vengono spalmate nei primi tre trimestri del 2023. le quote di competenza del 2023 vengono attribuite per 400 k al 3° trimestre e per 220k al 4° trimestre</t>
      </text>
    </comment>
    <comment ref="Q17" authorId="1" shapeId="0" xr:uid="{B1757F65-D71F-4AAC-806E-BD2B1BD27B26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Qui ho tolto le quote come da indicazione di Blefari</t>
      </text>
    </comment>
    <comment ref="H72" authorId="2" shapeId="0" xr:uid="{4060E667-51A1-465E-825F-F51142F7074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Nel primo anno la fondazione riceve 14,641% del finanziamento perchè non ha voluto chiedere una parte relativa a "Further projects &amp; contingency"</t>
      </text>
    </comment>
    <comment ref="I72" authorId="3" shapeId="0" xr:uid="{C097DEC6-7506-4CA3-9839-DC6749699BFD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Quindi nel 2024 ho messo il 40% e nel 2025 il 60% di quello che rimane. Se sommate tutte le celle avrete il totale della Fondazione di 6602K euro</t>
      </text>
    </comment>
    <comment ref="B101" authorId="4" shapeId="0" xr:uid="{DD688FEC-B682-4B92-8C99-FB3E79853F55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(26,5 vanno spalmati su 12mesi a partire dall'inzio del contratto + IVA) </t>
      </text>
    </comment>
    <comment ref="B106" authorId="5" shapeId="0" xr:uid="{CE3FE74C-2C00-4BF6-8C24-780F830E579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(spalmato su 4 trimestri come primo servizio del comm.)</t>
      </text>
    </comment>
    <comment ref="B107" authorId="6" shapeId="0" xr:uid="{7FADFB86-173B-4E43-ACF3-A0135D8B4F1D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c'era un preventivo chiesto su richiesta del CdA per un servizio poi non affidato, però va inserito. Nell'ultimo trimestre c'è anche un video istituzionale da 5k</t>
      </text>
    </comment>
    <comment ref="V109" authorId="7" shapeId="0" xr:uid="{4AEC6DCD-7C28-4156-9BDD-7F63DBFFA5BA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Questo dovrebbe andare a gennaio 2027</t>
      </text>
    </comment>
    <comment ref="B110" authorId="8" shapeId="0" xr:uid="{4BCB2D36-AA42-45E3-BFA6-B55B2413158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(gli importi vanno bene perché fanno capo a delibere del CdA)</t>
      </text>
    </comment>
    <comment ref="I110" authorId="9" shapeId="0" xr:uid="{4D5AC227-1631-4746-B439-840F8CB58BED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Stimato, dipende dalle candidature pervenute</t>
      </text>
    </comment>
    <comment ref="H111" authorId="10" shapeId="0" xr:uid="{4E8B6227-5D6F-444B-AF72-AEEC6E89519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Stimato, devo attendere I rimborsi quando termineranno le missioni</t>
      </text>
    </comment>
    <comment ref="B119" authorId="11" shapeId="0" xr:uid="{B1268D40-1576-4769-90D6-7DB17693CB4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(150*3)</t>
      </text>
    </comment>
    <comment ref="B123" authorId="12" shapeId="0" xr:uid="{768A4C0E-6A09-426C-BFF5-D227A0A9C3F7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(dati forniti da Moira, ma comunque sono quelli che il consiglio ha deliberato, quindi vanno mantenuti)</t>
      </text>
    </comment>
  </commentList>
</comments>
</file>

<file path=xl/sharedStrings.xml><?xml version="1.0" encoding="utf-8"?>
<sst xmlns="http://schemas.openxmlformats.org/spreadsheetml/2006/main" count="171" uniqueCount="110">
  <si>
    <t>Inizio Periodo</t>
  </si>
  <si>
    <t>Fine Periodo</t>
  </si>
  <si>
    <t>Anno</t>
  </si>
  <si>
    <t>Numero Periodo</t>
  </si>
  <si>
    <t>Giorni nel Periodo</t>
  </si>
  <si>
    <t>Forecast</t>
  </si>
  <si>
    <t>Trimestre</t>
  </si>
  <si>
    <t>Ricavi/Entrate</t>
  </si>
  <si>
    <t>Proventi dagli associati per attività mutuali</t>
  </si>
  <si>
    <t xml:space="preserve">Ricavi per prestazioni e cessioni ad associati e fondatori </t>
  </si>
  <si>
    <t>Erogazioni liberali</t>
  </si>
  <si>
    <t>Entrate del 5 per mille</t>
  </si>
  <si>
    <t>Contributi da soggetti privati</t>
  </si>
  <si>
    <t xml:space="preserve">Ricavi per prestazioni e cessioni a terzi </t>
  </si>
  <si>
    <t>Proventi da contratti con Enti pubblici</t>
  </si>
  <si>
    <t>Altri ricavi, rendite e proventi</t>
  </si>
  <si>
    <t>Rimananze Finali</t>
  </si>
  <si>
    <t>Totale Ricavi/Entrate</t>
  </si>
  <si>
    <t>Materie prime, sussidiarie, di consumo e merci</t>
  </si>
  <si>
    <t>[Inserire Denominazione]</t>
  </si>
  <si>
    <t>[Inserire Descrizione]</t>
  </si>
  <si>
    <t xml:space="preserve"> </t>
  </si>
  <si>
    <t>Costi/Uscite</t>
  </si>
  <si>
    <t>Servizi</t>
  </si>
  <si>
    <t>Godimento beni di terzi</t>
  </si>
  <si>
    <t>Personale</t>
  </si>
  <si>
    <t>Ammortamenti</t>
  </si>
  <si>
    <t xml:space="preserve">Accantonamenti per rischi ed oneri </t>
  </si>
  <si>
    <t xml:space="preserve">Rimanenze iniziali </t>
  </si>
  <si>
    <t>Differenza Ricavi/Entrate - Costi/Uscite</t>
  </si>
  <si>
    <t>.</t>
  </si>
  <si>
    <t>Saldo</t>
  </si>
  <si>
    <t>Proventi da quote associative e apporti dei fondatori (promotori e partecipanti)</t>
  </si>
  <si>
    <t xml:space="preserve">Università di Roma, Tor Vergata </t>
  </si>
  <si>
    <t>Consiglio Nazionale delle Ricerche    </t>
  </si>
  <si>
    <t>Politecnico di Bari  </t>
  </si>
  <si>
    <t>Politecnico di Milano </t>
  </si>
  <si>
    <t>Politecnico di Torino</t>
  </si>
  <si>
    <t>Scuola Superiore Sant'Anna di Pisa    </t>
  </si>
  <si>
    <t>Università di Bologna</t>
  </si>
  <si>
    <t>Università di Catania</t>
  </si>
  <si>
    <t>Università di Firenze </t>
  </si>
  <si>
    <t>Università di Napoli Federico II</t>
  </si>
  <si>
    <t>Università di Padova</t>
  </si>
  <si>
    <t>Università di Reggio Calabria</t>
  </si>
  <si>
    <t>Università di Roma Sapienza</t>
  </si>
  <si>
    <t>Consorzio Nazionale Interuniver. per le TLC</t>
  </si>
  <si>
    <t>Fondazione Ugo Bordoni </t>
  </si>
  <si>
    <t xml:space="preserve">Open Fiber   </t>
  </si>
  <si>
    <t xml:space="preserve">TIM   </t>
  </si>
  <si>
    <t xml:space="preserve">Vodafone   </t>
  </si>
  <si>
    <t xml:space="preserve">Wind Tre   </t>
  </si>
  <si>
    <t>Prysmian </t>
  </si>
  <si>
    <t>ITALTEL </t>
  </si>
  <si>
    <t>Athonet    </t>
  </si>
  <si>
    <t>TIESSE S.p.A.</t>
  </si>
  <si>
    <t>Assicurazione D&amp;O</t>
  </si>
  <si>
    <t>Oneri diversi di gestione</t>
  </si>
  <si>
    <t>Servizi postali e spedizioni</t>
  </si>
  <si>
    <t>Collegio dei Revisori dei Conti</t>
  </si>
  <si>
    <t>Dotazioni del personale dipendente - apparecchiature elettroniche</t>
  </si>
  <si>
    <t>Dotazioni del personale dipendente - cancelleria</t>
  </si>
  <si>
    <t>Programme Manager - Contributi e TFR</t>
  </si>
  <si>
    <t xml:space="preserve">Ministero dell'Università e della Ricerca - Fondi Avviso n.341 del 15-03-2022 </t>
  </si>
  <si>
    <t>Spese per attività scientifica</t>
  </si>
  <si>
    <t xml:space="preserve">Budget </t>
  </si>
  <si>
    <t>Spese di costituzione</t>
  </si>
  <si>
    <t>Viaggi e trasporti</t>
  </si>
  <si>
    <t xml:space="preserve">Garanzia per Anticipazione </t>
  </si>
  <si>
    <t xml:space="preserve">Gestione social network e servizi di grafica/multimediali </t>
  </si>
  <si>
    <t xml:space="preserve">Commissione Bandi pubblici </t>
  </si>
  <si>
    <t xml:space="preserve">Programme Manager - RAL </t>
  </si>
  <si>
    <r>
      <t>Telefoni aziendali n.3</t>
    </r>
    <r>
      <rPr>
        <sz val="10"/>
        <color rgb="FFFF0000"/>
        <rFont val="Arial"/>
        <family val="2"/>
      </rPr>
      <t xml:space="preserve"> </t>
    </r>
  </si>
  <si>
    <t>Eventi RESTART</t>
  </si>
  <si>
    <t>1087,39</t>
  </si>
  <si>
    <t>Dotazioni del personale dipendente - licenze (immagini alta qualità)</t>
  </si>
  <si>
    <t>Dipendente Gestionale 1 - VII Contributi e TFR</t>
  </si>
  <si>
    <t>Dipendente Gestionale 1 - VII liv. Full time - RAL</t>
  </si>
  <si>
    <t>Unicredit S.p.A.- Conto corrente bancario, carta di credito e operazioni</t>
  </si>
  <si>
    <t>Atti Notarili</t>
  </si>
  <si>
    <t>Servizi professionali - Consulenza legale</t>
  </si>
  <si>
    <t>()</t>
  </si>
  <si>
    <t>Ristrutturazione immobile sede Fondazione (da ammortizzare in 5 anni)</t>
  </si>
  <si>
    <t>Dotazione tecnologiche (da ammortizzare in 5 anni)</t>
  </si>
  <si>
    <t>Arredi (da ammortizzare in 7 anni)</t>
  </si>
  <si>
    <t xml:space="preserve">Storico della cassa della Fondazione </t>
  </si>
  <si>
    <t>Rimborsi e Contributi da enti pubblici (hub RESTART)</t>
  </si>
  <si>
    <t>Gestione finanziaria trasferimenti ai partner</t>
  </si>
  <si>
    <t>Trasferimenti ai Partner degli anticipi/rimborsi MUR - uscite</t>
  </si>
  <si>
    <t>Rimborsi e contributi dal MUR - entrate</t>
  </si>
  <si>
    <t>Spese di gestione HUB (tutto l'anticipo ricevuto meno tutte le nostre uscite)</t>
  </si>
  <si>
    <t xml:space="preserve">Imposte esercizio </t>
  </si>
  <si>
    <t>IRAP</t>
  </si>
  <si>
    <t>Totale Uscite</t>
  </si>
  <si>
    <t xml:space="preserve">Serivio di supporto al Controllo di Gestione del Programma </t>
  </si>
  <si>
    <t>Serizio di suporto Contabile e Fiscale</t>
  </si>
  <si>
    <t>Serivzio di supporto Giuridico Legale</t>
  </si>
  <si>
    <t>Servizi di consuenza contabile e fiscale e del lavoro</t>
  </si>
  <si>
    <t xml:space="preserve">Servizio di consulenza risk management </t>
  </si>
  <si>
    <t>2024</t>
  </si>
  <si>
    <t>2025</t>
  </si>
  <si>
    <t>2026</t>
  </si>
  <si>
    <t>FORECAST - DIFFERENZA RICAVI/ENTRATE - COSTI/USCITE</t>
  </si>
  <si>
    <t>FORECAST - CASSA DELLA FONDAZIONE</t>
  </si>
  <si>
    <t>Saldo cassa al 31.12</t>
  </si>
  <si>
    <t>2022</t>
  </si>
  <si>
    <t>Totale</t>
  </si>
  <si>
    <t>2023*</t>
  </si>
  <si>
    <t>* Dati al 30.09.2023</t>
  </si>
  <si>
    <t>Forecast (Annuale)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</si>
</sst>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;\(#.##0\);\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rgb="FF0379D5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9D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2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9" fillId="4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0" fillId="5" borderId="0" xfId="0" applyNumberFormat="1" applyFont="1" applyFill="1" applyAlignment="1">
      <alignment horizontal="left" vertical="top" wrapText="1"/>
    </xf>
    <xf numFmtId="164" fontId="10" fillId="6" borderId="0" xfId="0" applyNumberFormat="1" applyFont="1" applyFill="1" applyAlignment="1">
      <alignment horizontal="left" vertical="top" wrapText="1"/>
    </xf>
    <xf numFmtId="0" fontId="7" fillId="3" borderId="4" xfId="0" applyFont="1" applyFill="1" applyBorder="1"/>
    <xf numFmtId="0" fontId="5" fillId="3" borderId="5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5" fillId="3" borderId="3" xfId="0" applyFont="1" applyFill="1" applyBorder="1"/>
    <xf numFmtId="1" fontId="10" fillId="5" borderId="0" xfId="0" applyNumberFormat="1" applyFont="1" applyFill="1" applyAlignment="1">
      <alignment horizontal="right" vertical="top" wrapText="1"/>
    </xf>
    <xf numFmtId="1" fontId="11" fillId="7" borderId="0" xfId="0" applyNumberFormat="1" applyFont="1" applyFill="1" applyAlignment="1">
      <alignment horizontal="right" vertical="top" wrapText="1"/>
    </xf>
    <xf numFmtId="164" fontId="11" fillId="7" borderId="0" xfId="0" applyNumberFormat="1" applyFont="1" applyFill="1" applyAlignment="1">
      <alignment horizontal="left" vertical="top" wrapText="1"/>
    </xf>
    <xf numFmtId="164" fontId="11" fillId="8" borderId="0" xfId="0" applyNumberFormat="1" applyFont="1" applyFill="1" applyAlignment="1">
      <alignment horizontal="left" vertical="top" wrapText="1"/>
    </xf>
    <xf numFmtId="0" fontId="2" fillId="9" borderId="0" xfId="0" applyFont="1" applyFill="1"/>
    <xf numFmtId="0" fontId="3" fillId="2" borderId="1" xfId="0" applyFont="1" applyFill="1" applyBorder="1"/>
    <xf numFmtId="0" fontId="3" fillId="2" borderId="6" xfId="0" applyFont="1" applyFill="1" applyBorder="1"/>
    <xf numFmtId="2" fontId="2" fillId="2" borderId="0" xfId="0" applyNumberFormat="1" applyFont="1" applyFill="1" applyAlignment="1">
      <alignment horizontal="center" vertical="center"/>
    </xf>
    <xf numFmtId="0" fontId="6" fillId="3" borderId="3" xfId="0" applyFont="1" applyFill="1" applyBorder="1"/>
    <xf numFmtId="0" fontId="1" fillId="3" borderId="0" xfId="0" applyFont="1" applyFill="1"/>
    <xf numFmtId="0" fontId="13" fillId="3" borderId="0" xfId="0" applyFont="1" applyFill="1"/>
    <xf numFmtId="0" fontId="8" fillId="3" borderId="0" xfId="0" applyFont="1" applyFill="1" applyAlignment="1">
      <alignment horizontal="left" vertical="top"/>
    </xf>
    <xf numFmtId="1" fontId="11" fillId="8" borderId="0" xfId="0" applyNumberFormat="1" applyFont="1" applyFill="1" applyAlignment="1">
      <alignment horizontal="left" vertical="top" wrapText="1"/>
    </xf>
    <xf numFmtId="1" fontId="2" fillId="9" borderId="0" xfId="0" applyNumberFormat="1" applyFont="1" applyFill="1"/>
    <xf numFmtId="0" fontId="7" fillId="3" borderId="3" xfId="0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/>
    <xf numFmtId="4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/>
    <xf numFmtId="4" fontId="2" fillId="9" borderId="0" xfId="0" applyNumberFormat="1" applyFont="1" applyFill="1" applyAlignment="1">
      <alignment horizontal="center" vertical="center"/>
    </xf>
    <xf numFmtId="4" fontId="2" fillId="9" borderId="0" xfId="0" applyNumberFormat="1" applyFont="1" applyFill="1"/>
    <xf numFmtId="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/>
    <xf numFmtId="4" fontId="12" fillId="2" borderId="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2" borderId="5" xfId="0" applyFont="1" applyFill="1" applyBorder="1"/>
    <xf numFmtId="4" fontId="2" fillId="2" borderId="0" xfId="0" applyNumberFormat="1" applyFont="1" applyFill="1" applyAlignment="1">
      <alignment horizontal="center"/>
    </xf>
    <xf numFmtId="0" fontId="17" fillId="2" borderId="0" xfId="0" applyFont="1" applyFill="1"/>
    <xf numFmtId="164" fontId="18" fillId="5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wrapText="1"/>
    </xf>
    <xf numFmtId="1" fontId="11" fillId="7" borderId="0" xfId="0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wrapText="1"/>
    </xf>
    <xf numFmtId="4" fontId="2" fillId="2" borderId="9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164" fontId="11" fillId="9" borderId="0" xfId="0" applyNumberFormat="1" applyFont="1" applyFill="1" applyAlignment="1">
      <alignment horizontal="left" vertical="top" wrapText="1"/>
    </xf>
    <xf numFmtId="164" fontId="10" fillId="9" borderId="0" xfId="0" applyNumberFormat="1" applyFont="1" applyFill="1" applyAlignment="1">
      <alignment horizontal="left" vertical="top" wrapText="1"/>
    </xf>
    <xf numFmtId="0" fontId="16" fillId="2" borderId="0" xfId="0" applyFont="1" applyFill="1"/>
    <xf numFmtId="1" fontId="11" fillId="5" borderId="0" xfId="0" applyNumberFormat="1" applyFont="1" applyFill="1" applyAlignment="1">
      <alignment horizontal="right" vertical="top" wrapText="1"/>
    </xf>
    <xf numFmtId="4" fontId="2" fillId="2" borderId="5" xfId="0" applyNumberFormat="1" applyFont="1" applyFill="1" applyBorder="1" applyAlignment="1">
      <alignment horizontal="center" vertical="center"/>
    </xf>
    <xf numFmtId="1" fontId="11" fillId="6" borderId="0" xfId="0" applyNumberFormat="1" applyFont="1" applyFill="1" applyAlignment="1">
      <alignment horizontal="left" vertical="top" wrapText="1"/>
    </xf>
    <xf numFmtId="0" fontId="3" fillId="2" borderId="10" xfId="0" applyFont="1" applyFill="1" applyBorder="1"/>
    <xf numFmtId="0" fontId="3" fillId="2" borderId="11" xfId="0" applyFont="1" applyFill="1" applyBorder="1"/>
    <xf numFmtId="4" fontId="3" fillId="2" borderId="11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4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0" fillId="2" borderId="0" xfId="0" applyFill="1"/>
    <xf numFmtId="4" fontId="2" fillId="2" borderId="16" xfId="0" applyNumberFormat="1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4" fontId="12" fillId="10" borderId="6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2">
    <cellStyle name="Normale" xfId="0" builtinId="0"/>
    <cellStyle name="Normale 2" xfId="1" xr:uid="{05592C49-A4AB-423D-A17C-BEA89AC8AE93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379D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379D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rgb="FF0379D5"/>
        </patternFill>
      </fill>
    </dxf>
  </dxfs>
  <tableStyles count="0" defaultTableStyle="TableStyleMedium2" defaultPivotStyle="PivotStyleLight16"/>
  <colors>
    <mruColors>
      <color rgb="FF000000"/>
      <color rgb="FF037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'Recap&amp;Charts'!$B$10</c:f>
              <c:strCache>
                <c:ptCount val="1"/>
                <c:pt idx="0">
                  <c:v>Ricavi/Entrate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'Recap&amp;Charts'!$C$9:$H$9</c:f>
              <c:strCache>
                <c:ptCount val="6"/>
                <c:pt idx="0">
                  <c:v>2022</c:v>
                </c:pt>
                <c:pt idx="1">
                  <c:v>2023*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Totale</c:v>
                </c:pt>
              </c:strCache>
            </c:strRef>
          </c:cat>
          <c:val>
            <c:numRef>
              <c:f>'Recap&amp;Charts'!$C$10:$H$10</c:f>
              <c:numCache>
                <c:formatCode>#,##0.00</c:formatCode>
                <c:ptCount val="6"/>
                <c:pt idx="0">
                  <c:v>390000</c:v>
                </c:pt>
                <c:pt idx="1">
                  <c:v>620000.5</c:v>
                </c:pt>
                <c:pt idx="2">
                  <c:v>2874163.6719999998</c:v>
                </c:pt>
                <c:pt idx="3">
                  <c:v>3381245.5079999999</c:v>
                </c:pt>
                <c:pt idx="4">
                  <c:v>0</c:v>
                </c:pt>
                <c:pt idx="5">
                  <c:v>7265409.6799999997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8-425F-9DAE-42B0F7BD7681}"/>
            </c:ext>
          </c:extLst>
        </c:ser>
        <c:ser>
          <c:idx val="1"/>
          <c:order val="1"/>
          <c:tx>
            <c:strRef>
              <c:f>'Recap&amp;Charts'!$B$11</c:f>
              <c:strCache>
                <c:ptCount val="1"/>
                <c:pt idx="0">
                  <c:v>Costi/Uscite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'Recap&amp;Charts'!$C$9:$H$9</c:f>
              <c:strCache>
                <c:ptCount val="6"/>
                <c:pt idx="0">
                  <c:v>2022</c:v>
                </c:pt>
                <c:pt idx="1">
                  <c:v>2023*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Totale</c:v>
                </c:pt>
              </c:strCache>
            </c:strRef>
          </c:cat>
          <c:val>
            <c:numRef>
              <c:f>'Recap&amp;Charts'!$C$11:$H$11</c:f>
              <c:numCache>
                <c:formatCode>#,##0.00</c:formatCode>
                <c:ptCount val="6"/>
                <c:pt idx="0">
                  <c:v>-4531</c:v>
                </c:pt>
                <c:pt idx="1">
                  <c:v>-140503.94</c:v>
                </c:pt>
                <c:pt idx="2">
                  <c:v>-2766307.7569999998</c:v>
                </c:pt>
                <c:pt idx="3">
                  <c:v>-3893389.5930000003</c:v>
                </c:pt>
                <c:pt idx="4">
                  <c:v>-420808.00074285717</c:v>
                </c:pt>
                <c:pt idx="5">
                  <c:v>-7225540.2907428574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8-425F-9DAE-42B0F7BD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94816"/>
        <c:axId val="231292832"/>
      </c:barChart>
      <c:catAx>
        <c:axId val="576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1292832"/>
        <c:crosses val="autoZero"/>
        <c:auto val="1"/>
        <c:lblAlgn val="ctr"/>
        <c:lblOffset val="100"/>
        <c:noMultiLvlLbl val="0"/>
      </c:catAx>
      <c:valAx>
        <c:axId val="2312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9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'Recap&amp;Charts'!$B$47</c:f>
              <c:strCache>
                <c:ptCount val="1"/>
                <c:pt idx="0">
                  <c:v>Saldo cassa al 31.12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'Recap&amp;Charts'!$C$46:$E$46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'Recap&amp;Charts'!$C$47:$E$47</c:f>
              <c:numCache>
                <c:formatCode>#,##0.00</c:formatCode>
                <c:ptCount val="3"/>
                <c:pt idx="0">
                  <c:v>312144.0850000002</c:v>
                </c:pt>
                <c:pt idx="1">
                  <c:v>-200000</c:v>
                </c:pt>
                <c:pt idx="2">
                  <c:v>-620808.00074285711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D74-AE59-C8DBF05C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9420079"/>
        <c:axId val="1097707391"/>
      </c:barChart>
      <c:catAx>
        <c:axId val="109942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7707391"/>
        <c:crosses val="autoZero"/>
        <c:auto val="1"/>
        <c:lblAlgn val="ctr"/>
        <c:lblOffset val="100"/>
        <c:noMultiLvlLbl val="0"/>
      </c:catAx>
      <c:valAx>
        <c:axId val="109770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942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2</xdr:row>
      <xdr:rowOff>129540</xdr:rowOff>
    </xdr:from>
    <xdr:to>
      <xdr:col>1</xdr:col>
      <xdr:colOff>2654935</xdr:colOff>
      <xdr:row>6</xdr:row>
      <xdr:rowOff>50722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E18E77-E170-8945-873B-6A467FE6D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601980"/>
          <a:ext cx="2263140" cy="594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455979</xdr:colOff>
      <xdr:row>0</xdr:row>
      <xdr:rowOff>58616</xdr:rowOff>
    </xdr:from>
    <xdr:to>
      <xdr:col>15</xdr:col>
      <xdr:colOff>278178</xdr:colOff>
      <xdr:row>4</xdr:row>
      <xdr:rowOff>102708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3DE52B-4410-40E2-ACAE-FAE97695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037" y="58616"/>
          <a:ext cx="2335578" cy="688861"/>
        </a:xfrm>
        <a:prstGeom prst="rect">
          <a:avLst/>
        </a:prstGeom>
      </xdr:spPr>
    </xdr:pic>
    <xdr:clientData/>
  </xdr:twoCellAnchor>
  <xdr:twoCellAnchor>
    <xdr:from>
      <xdr:col>0</xdr:col>
      <xdr:colOff>550861</xdr:colOff>
      <xdr:row>15</xdr:row>
      <xdr:rowOff>134937</xdr:rowOff>
    </xdr:from>
    <xdr:to>
      <xdr:col>8</xdr:col>
      <xdr:colOff>155574</xdr:colOff>
      <xdr:row>42</xdr:row>
      <xdr:rowOff>144461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8AB2AA4-CE27-2C2E-81AB-D17D58D0D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92075</xdr:colOff>
      <xdr:row>48</xdr:row>
      <xdr:rowOff>140494</xdr:rowOff>
    </xdr:from>
    <xdr:to>
      <xdr:col>4</xdr:col>
      <xdr:colOff>2563813</xdr:colOff>
      <xdr:row>69</xdr:row>
      <xdr:rowOff>39688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9E28BCF-CDD0-44AA-DFFC-F4EA4DAF0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stasia Di Lorenzo" id="{C15EA577-6257-4B45-AE90-424C3FAEB2D7}" userId="785bca8e11ade52a" providerId="Windows Live"/>
  <person displayName="Marco Verrelli" id="{295C3666-7CAB-45D5-A6BE-5B02210ADEEA}" userId="S::marco.verrelli@bgt.it.gt.com::b873960a-926e-41e8-ad56-e3058bf6de8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23D8F2-D3E7-485D-A165-A412869CBD68}" name="Tabella1" displayName="Tabella1" ref="B9:H12" totalsRowCount="1" headerRowDxfId="16" dataDxfId="15" totalsRowDxfId="14">
  <autoFilter ref="B9:H11" xr:uid="{5F23D8F2-D3E7-485D-A165-A412869CBD68}"/>
  <tableColumns count="7">
    <tableColumn id="1" xr3:uid="{07F2F032-B818-4495-ABF4-5C15A47EA1B4}" name="." totalsRowLabel="Saldo" dataDxfId="13" totalsRowDxfId="12"/>
    <tableColumn id="6" xr3:uid="{80E35CA5-6576-44B5-9E69-C3DA536191DD}" name="2022" totalsRowFunction="sum" dataDxfId="11" totalsRowDxfId="10"/>
    <tableColumn id="5" xr3:uid="{F238D978-C970-4DCB-80A9-B860D5B74E01}" name="2023*" totalsRowFunction="sum" dataDxfId="9" totalsRowDxfId="8"/>
    <tableColumn id="2" xr3:uid="{4CDD14DC-26B5-4F77-8F2C-D080A8A57445}" name="2024" totalsRowFunction="sum" dataDxfId="7" totalsRowDxfId="6">
      <calculatedColumnFormula>+SUM('Budget 3M'!E88:H88)</calculatedColumnFormula>
    </tableColumn>
    <tableColumn id="4" xr3:uid="{6AEB36FE-DEF3-4BC5-8F54-20AF22FDC44E}" name="2025" totalsRowFunction="sum" dataDxfId="5" totalsRowDxfId="4">
      <calculatedColumnFormula>+SUM('Budget 3M'!#REF!)</calculatedColumnFormula>
    </tableColumn>
    <tableColumn id="3" xr3:uid="{1F55BD28-699B-4A34-AA03-1384A09BEF74}" name="2026" totalsRowFunction="sum" dataDxfId="3" totalsRowDxfId="2">
      <calculatedColumnFormula>+SUM('Budget 3M'!S167:V167)</calculatedColumnFormula>
    </tableColumn>
    <tableColumn id="7" xr3:uid="{C4E8D5F8-B7A9-4E27-A885-2F24D4563083}" name="Totale" totalsRowFunction="custom" dataDxfId="1" totalsRowDxfId="0">
      <calculatedColumnFormula>+Tabella1[[#This Row],[2022]]+Tabella1[[#This Row],[2023*]]+Tabella1[[#This Row],[2024]]+Tabella1[[#This Row],[2025]]+Tabella1[[#This Row],[2026]]</calculatedColumnFormula>
      <totalsRowFormula>+H10+H11</totalsRowFormula>
    </tableColumn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3-06-23T15:41:44.04" personId="{295C3666-7CAB-45D5-A6BE-5B02210ADEEA}" id="{59D42132-4533-4C4F-8BEF-E237B1761CDC}">
    <text>le quote di competenza del 2022 non incassate vengono spalmate nei primi tre trimestri del 2023. le quote di competenza del 2023 vengono attribuite per 400 k al 3° trimestre e per 220k al 4° trimestre</text>
  </threadedComment>
  <threadedComment ref="Q17" dT="2023-10-18T09:09:59.14" personId="{C15EA577-6257-4B45-AE90-424C3FAEB2D7}" id="{B1757F65-D71F-4AAC-806E-BD2B1BD27B26}">
    <text>Qui ho tolto le quote come da indicazione di Blefari</text>
  </threadedComment>
  <threadedComment ref="H72" dT="2023-10-18T09:07:40.08" personId="{C15EA577-6257-4B45-AE90-424C3FAEB2D7}" id="{4060E667-51A1-465E-825F-F51142F7074F}">
    <text>Nel primo anno la fondazione riceve 14,641% del finanziamento perchè non ha voluto chiedere una parte relativa a "Further projects &amp; contingency"</text>
  </threadedComment>
  <threadedComment ref="I72" dT="2023-10-18T09:09:40.37" personId="{C15EA577-6257-4B45-AE90-424C3FAEB2D7}" id="{C097DEC6-7506-4CA3-9839-DC6749699BFD}">
    <text>Quindi nel 2024 ho messo il 40% e nel 2025 il 60% di quello che rimane. Se sommate tutte le celle avrete il totale della Fondazione di 6602K euro</text>
  </threadedComment>
  <threadedComment ref="B101" dT="2023-06-23T13:00:34.12" personId="{295C3666-7CAB-45D5-A6BE-5B02210ADEEA}" id="{DD688FEC-B682-4B92-8C99-FB3E79853F55}">
    <text xml:space="preserve">(26,5 vanno spalmati su 12mesi a partire dall'inzio del contratto + IVA) </text>
  </threadedComment>
  <threadedComment ref="B106" dT="2023-06-23T13:02:58.07" personId="{295C3666-7CAB-45D5-A6BE-5B02210ADEEA}" id="{CE3FE74C-2C00-4BF6-8C24-780F830E5797}">
    <text>(spalmato su 4 trimestri come primo servizio del comm.)</text>
  </threadedComment>
  <threadedComment ref="B107" dT="2023-06-23T13:03:47.58" personId="{295C3666-7CAB-45D5-A6BE-5B02210ADEEA}" id="{7FADFB86-173B-4E43-ACF3-A0135D8B4F1D}">
    <text>c'era un preventivo chiesto su richiesta del CdA per un servizio poi non affidato, però va inserito. Nell'ultimo trimestre c'è anche un video istituzionale da 5k</text>
  </threadedComment>
  <threadedComment ref="V109" dT="2023-10-18T09:18:49.41" personId="{C15EA577-6257-4B45-AE90-424C3FAEB2D7}" id="{4AEC6DCD-7C28-4156-9BDD-7F63DBFFA5BA}">
    <text>Questo dovrebbe andare a gennaio 2027</text>
  </threadedComment>
  <threadedComment ref="B110" dT="2023-06-23T13:04:09.38" personId="{295C3666-7CAB-45D5-A6BE-5B02210ADEEA}" id="{4BCB2D36-AA42-45E3-BFA6-B55B2413158F}">
    <text>(gli importi vanno bene perché fanno capo a delibere del CdA)</text>
  </threadedComment>
  <threadedComment ref="I110" dT="2023-10-18T09:17:48.79" personId="{C15EA577-6257-4B45-AE90-424C3FAEB2D7}" id="{4D5AC227-1631-4746-B439-840F8CB58BED}">
    <text>Stimato, dipende dalle candidature pervenute</text>
  </threadedComment>
  <threadedComment ref="H111" dT="2023-10-18T09:17:25.87" personId="{C15EA577-6257-4B45-AE90-424C3FAEB2D7}" id="{4E8B6227-5D6F-444B-AF72-AEEC6E895193}">
    <text>Stimato, devo attendere I rimborsi quando termineranno le missioni</text>
  </threadedComment>
  <threadedComment ref="B119" dT="2023-06-23T13:13:14.93" personId="{295C3666-7CAB-45D5-A6BE-5B02210ADEEA}" id="{B1268D40-1576-4769-90D6-7DB17693CB47}">
    <text>(150*3)</text>
  </threadedComment>
  <threadedComment ref="B123" dT="2023-06-23T13:04:59.93" personId="{295C3666-7CAB-45D5-A6BE-5B02210ADEEA}" id="{768A4C0E-6A09-426C-BFF5-D227A0A9C3F7}">
    <text>(dati forniti da Moira, ma comunque sono quelli che il consiglio ha deliberato, quindi vanno mantenuti)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E667-DC09-418F-BCC9-A908C284DBD8}">
  <sheetPr>
    <pageSetUpPr fitToPage="1"/>
  </sheetPr>
  <dimension ref="A1:Y178"/>
  <sheetViews>
    <sheetView tabSelected="1" zoomScale="90" zoomScaleNormal="90" workbookViewId="0">
      <pane xSplit="2" ySplit="9" topLeftCell="C104" activePane="bottomRight" state="frozen"/>
      <selection pane="topRight" activeCell="C1" sqref="C1"/>
      <selection pane="bottomLeft" activeCell="A10" sqref="A10"/>
      <selection pane="bottomRight" activeCell="N116" sqref="N116"/>
    </sheetView>
  </sheetViews>
  <sheetFormatPr defaultColWidth="8.77734375" defaultRowHeight="13.2" outlineLevelRow="2" x14ac:dyDescent="0.25"/>
  <cols>
    <col min="1" max="1" width="2.77734375" style="1" customWidth="1"/>
    <col min="2" max="2" width="65.77734375" style="1" customWidth="1"/>
    <col min="3" max="3" width="15.77734375" style="1" customWidth="1"/>
    <col min="4" max="4" width="8.77734375" style="1"/>
    <col min="5" max="6" width="15.33203125" style="6" hidden="1" customWidth="1"/>
    <col min="7" max="7" width="14.88671875" style="6" hidden="1" customWidth="1"/>
    <col min="8" max="8" width="12.6640625" style="6" hidden="1" customWidth="1"/>
    <col min="9" max="9" width="16.6640625" style="6" customWidth="1"/>
    <col min="10" max="10" width="16.109375" style="6" bestFit="1" customWidth="1"/>
    <col min="11" max="23" width="17.5546875" style="6" customWidth="1"/>
    <col min="24" max="16384" width="8.77734375" style="1"/>
  </cols>
  <sheetData>
    <row r="1" spans="1:25" s="2" customFormat="1" x14ac:dyDescent="0.25">
      <c r="E1" s="3"/>
      <c r="F1" s="3"/>
      <c r="G1" s="3"/>
      <c r="H1" s="7"/>
      <c r="I1" s="3"/>
      <c r="J1" s="3"/>
      <c r="K1" s="3"/>
      <c r="L1" s="7"/>
      <c r="M1" s="7"/>
      <c r="N1" s="3"/>
      <c r="O1" s="3"/>
      <c r="P1" s="3"/>
      <c r="Q1" s="7"/>
      <c r="R1" s="7"/>
      <c r="S1" s="3"/>
      <c r="T1" s="3"/>
      <c r="U1" s="3"/>
      <c r="V1" s="3"/>
      <c r="W1" s="7"/>
    </row>
    <row r="2" spans="1:25" s="10" customFormat="1" ht="24" customHeight="1" x14ac:dyDescent="0.2">
      <c r="C2" s="31" t="s">
        <v>65</v>
      </c>
      <c r="E2" s="11" t="s">
        <v>5</v>
      </c>
      <c r="F2" s="11" t="s">
        <v>5</v>
      </c>
      <c r="G2" s="11" t="s">
        <v>5</v>
      </c>
      <c r="H2" s="11" t="s">
        <v>5</v>
      </c>
      <c r="I2" s="11" t="s">
        <v>5</v>
      </c>
      <c r="J2" s="11" t="s">
        <v>5</v>
      </c>
      <c r="K2" s="11" t="s">
        <v>5</v>
      </c>
      <c r="L2" s="11" t="s">
        <v>5</v>
      </c>
      <c r="M2" s="78" t="s">
        <v>109</v>
      </c>
      <c r="N2" s="11" t="s">
        <v>5</v>
      </c>
      <c r="O2" s="11" t="s">
        <v>5</v>
      </c>
      <c r="P2" s="11" t="s">
        <v>5</v>
      </c>
      <c r="Q2" s="11" t="s">
        <v>5</v>
      </c>
      <c r="R2" s="78" t="s">
        <v>109</v>
      </c>
      <c r="S2" s="11" t="s">
        <v>5</v>
      </c>
      <c r="T2" s="11" t="s">
        <v>5</v>
      </c>
      <c r="U2" s="11" t="s">
        <v>5</v>
      </c>
      <c r="V2" s="11" t="s">
        <v>5</v>
      </c>
      <c r="W2" s="78" t="s">
        <v>109</v>
      </c>
    </row>
    <row r="3" spans="1:25" s="2" customFormat="1" x14ac:dyDescent="0.25">
      <c r="E3" s="3"/>
      <c r="F3" s="3"/>
      <c r="G3" s="3"/>
      <c r="H3" s="7"/>
      <c r="I3" s="3"/>
      <c r="J3" s="3"/>
      <c r="K3" s="3"/>
      <c r="L3" s="7"/>
      <c r="M3" s="7"/>
      <c r="N3" s="3"/>
      <c r="O3" s="3"/>
      <c r="P3" s="3"/>
      <c r="Q3" s="7"/>
      <c r="R3" s="7"/>
      <c r="S3" s="3"/>
      <c r="T3" s="3"/>
      <c r="U3" s="3"/>
      <c r="V3" s="3"/>
      <c r="W3" s="7"/>
    </row>
    <row r="4" spans="1:25" s="2" customFormat="1" x14ac:dyDescent="0.25">
      <c r="C4" s="2" t="s">
        <v>0</v>
      </c>
      <c r="E4" s="4">
        <v>44927</v>
      </c>
      <c r="F4" s="4">
        <f>+E5+1</f>
        <v>45017</v>
      </c>
      <c r="G4" s="4">
        <f>+F5+1</f>
        <v>45108</v>
      </c>
      <c r="H4" s="8">
        <f>+G5+1</f>
        <v>45200</v>
      </c>
      <c r="I4" s="4">
        <v>45292</v>
      </c>
      <c r="J4" s="4">
        <f>+I5+1</f>
        <v>45383</v>
      </c>
      <c r="K4" s="4">
        <f>+J5+1</f>
        <v>45474</v>
      </c>
      <c r="L4" s="8">
        <f>+K5+1</f>
        <v>45566</v>
      </c>
      <c r="M4" s="8">
        <v>45292</v>
      </c>
      <c r="N4" s="4">
        <v>45658</v>
      </c>
      <c r="O4" s="4">
        <f>+N5+1</f>
        <v>45748</v>
      </c>
      <c r="P4" s="4">
        <f>+O5+1</f>
        <v>45839</v>
      </c>
      <c r="Q4" s="8">
        <f>+P5+1</f>
        <v>45931</v>
      </c>
      <c r="R4" s="8">
        <v>45658</v>
      </c>
      <c r="S4" s="4">
        <v>46023</v>
      </c>
      <c r="T4" s="4">
        <f>+S5+1</f>
        <v>46113</v>
      </c>
      <c r="U4" s="4">
        <f>+T5+1</f>
        <v>46204</v>
      </c>
      <c r="V4" s="8">
        <f>+U5+1</f>
        <v>46296</v>
      </c>
      <c r="W4" s="8">
        <v>46023</v>
      </c>
    </row>
    <row r="5" spans="1:25" s="2" customFormat="1" x14ac:dyDescent="0.25">
      <c r="C5" s="2" t="s">
        <v>1</v>
      </c>
      <c r="E5" s="4">
        <v>45016</v>
      </c>
      <c r="F5" s="4">
        <f>+EOMONTH(F4-1,3)</f>
        <v>45107</v>
      </c>
      <c r="G5" s="4">
        <f>+EOMONTH(G4-1,3)</f>
        <v>45199</v>
      </c>
      <c r="H5" s="8">
        <f>+EOMONTH(H4-1,3)</f>
        <v>45291</v>
      </c>
      <c r="I5" s="4">
        <v>45382</v>
      </c>
      <c r="J5" s="4">
        <f>+EOMONTH(J4-1,3)</f>
        <v>45473</v>
      </c>
      <c r="K5" s="4">
        <f>+EOMONTH(K4-1,3)</f>
        <v>45565</v>
      </c>
      <c r="L5" s="8">
        <f>+EOMONTH(L4-1,3)</f>
        <v>45657</v>
      </c>
      <c r="M5" s="8">
        <v>45657</v>
      </c>
      <c r="N5" s="4">
        <v>45747</v>
      </c>
      <c r="O5" s="4">
        <f>+EOMONTH(O4-1,3)</f>
        <v>45838</v>
      </c>
      <c r="P5" s="4">
        <f>+EOMONTH(P4-1,3)</f>
        <v>45930</v>
      </c>
      <c r="Q5" s="8">
        <f>+EOMONTH(Q4-1,3)</f>
        <v>46022</v>
      </c>
      <c r="R5" s="8">
        <v>46022</v>
      </c>
      <c r="S5" s="4">
        <v>46112</v>
      </c>
      <c r="T5" s="4">
        <f>+EOMONTH(T4-1,3)</f>
        <v>46203</v>
      </c>
      <c r="U5" s="4">
        <f>+EOMONTH(U4-1,3)</f>
        <v>46295</v>
      </c>
      <c r="V5" s="8">
        <f>+EOMONTH(V4-1,3)</f>
        <v>46387</v>
      </c>
      <c r="W5" s="8">
        <v>46387</v>
      </c>
    </row>
    <row r="6" spans="1:25" s="2" customFormat="1" x14ac:dyDescent="0.25">
      <c r="C6" s="2" t="s">
        <v>3</v>
      </c>
      <c r="E6" s="3">
        <v>1</v>
      </c>
      <c r="F6" s="3">
        <f>+E6+1</f>
        <v>2</v>
      </c>
      <c r="G6" s="3">
        <f>+F6+1</f>
        <v>3</v>
      </c>
      <c r="H6" s="7">
        <f>+G6+1</f>
        <v>4</v>
      </c>
      <c r="I6" s="3">
        <v>1</v>
      </c>
      <c r="J6" s="3">
        <f>+I6+1</f>
        <v>2</v>
      </c>
      <c r="K6" s="3">
        <f>+J6+1</f>
        <v>3</v>
      </c>
      <c r="L6" s="7">
        <f>+K6+1</f>
        <v>4</v>
      </c>
      <c r="M6" s="7"/>
      <c r="N6" s="3">
        <v>1</v>
      </c>
      <c r="O6" s="3">
        <f>+N6+1</f>
        <v>2</v>
      </c>
      <c r="P6" s="3">
        <f>+O6+1</f>
        <v>3</v>
      </c>
      <c r="Q6" s="7">
        <f>+P6+1</f>
        <v>4</v>
      </c>
      <c r="R6" s="7"/>
      <c r="S6" s="3">
        <v>1</v>
      </c>
      <c r="T6" s="3">
        <f>+S6+1</f>
        <v>2</v>
      </c>
      <c r="U6" s="3">
        <f>+T6+1</f>
        <v>3</v>
      </c>
      <c r="V6" s="7">
        <f>+U6+1</f>
        <v>4</v>
      </c>
      <c r="W6" s="7"/>
    </row>
    <row r="7" spans="1:25" s="2" customFormat="1" x14ac:dyDescent="0.25">
      <c r="C7" s="2" t="s">
        <v>6</v>
      </c>
      <c r="E7" s="3">
        <f t="shared" ref="E7:L7" si="0">+ROUNDUP(MONTH(E$5)/3,0)</f>
        <v>1</v>
      </c>
      <c r="F7" s="3">
        <f t="shared" si="0"/>
        <v>2</v>
      </c>
      <c r="G7" s="3">
        <f t="shared" si="0"/>
        <v>3</v>
      </c>
      <c r="H7" s="7">
        <f t="shared" si="0"/>
        <v>4</v>
      </c>
      <c r="I7" s="3">
        <f t="shared" si="0"/>
        <v>1</v>
      </c>
      <c r="J7" s="3">
        <f t="shared" si="0"/>
        <v>2</v>
      </c>
      <c r="K7" s="3">
        <f t="shared" si="0"/>
        <v>3</v>
      </c>
      <c r="L7" s="7">
        <f t="shared" si="0"/>
        <v>4</v>
      </c>
      <c r="M7" s="7"/>
      <c r="N7" s="3">
        <f t="shared" ref="N7:V7" si="1">+ROUNDUP(MONTH(N$5)/3,0)</f>
        <v>1</v>
      </c>
      <c r="O7" s="3">
        <f t="shared" si="1"/>
        <v>2</v>
      </c>
      <c r="P7" s="3">
        <f t="shared" si="1"/>
        <v>3</v>
      </c>
      <c r="Q7" s="7">
        <f t="shared" si="1"/>
        <v>4</v>
      </c>
      <c r="R7" s="7"/>
      <c r="S7" s="3">
        <f t="shared" si="1"/>
        <v>1</v>
      </c>
      <c r="T7" s="3">
        <f t="shared" si="1"/>
        <v>2</v>
      </c>
      <c r="U7" s="3">
        <f t="shared" si="1"/>
        <v>3</v>
      </c>
      <c r="V7" s="7">
        <f t="shared" si="1"/>
        <v>4</v>
      </c>
      <c r="W7" s="7"/>
    </row>
    <row r="8" spans="1:25" s="2" customFormat="1" x14ac:dyDescent="0.25">
      <c r="C8" s="2" t="s">
        <v>4</v>
      </c>
      <c r="E8" s="5">
        <f t="shared" ref="E8:L8" si="2">+E5-E4+1</f>
        <v>90</v>
      </c>
      <c r="F8" s="5">
        <f t="shared" si="2"/>
        <v>91</v>
      </c>
      <c r="G8" s="5">
        <f t="shared" si="2"/>
        <v>92</v>
      </c>
      <c r="H8" s="9">
        <f t="shared" si="2"/>
        <v>92</v>
      </c>
      <c r="I8" s="5">
        <f t="shared" si="2"/>
        <v>91</v>
      </c>
      <c r="J8" s="5">
        <f t="shared" si="2"/>
        <v>91</v>
      </c>
      <c r="K8" s="5">
        <f t="shared" si="2"/>
        <v>92</v>
      </c>
      <c r="L8" s="9">
        <f t="shared" si="2"/>
        <v>92</v>
      </c>
      <c r="M8" s="9"/>
      <c r="N8" s="5">
        <f t="shared" ref="N8:V8" si="3">+N5-N4+1</f>
        <v>90</v>
      </c>
      <c r="O8" s="5">
        <f t="shared" si="3"/>
        <v>91</v>
      </c>
      <c r="P8" s="5">
        <f t="shared" si="3"/>
        <v>92</v>
      </c>
      <c r="Q8" s="9">
        <f t="shared" si="3"/>
        <v>92</v>
      </c>
      <c r="R8" s="9"/>
      <c r="S8" s="5">
        <f t="shared" si="3"/>
        <v>90</v>
      </c>
      <c r="T8" s="5">
        <f t="shared" si="3"/>
        <v>91</v>
      </c>
      <c r="U8" s="5">
        <f t="shared" si="3"/>
        <v>92</v>
      </c>
      <c r="V8" s="9">
        <f t="shared" si="3"/>
        <v>92</v>
      </c>
      <c r="W8" s="9"/>
    </row>
    <row r="9" spans="1:25" s="2" customFormat="1" x14ac:dyDescent="0.25">
      <c r="C9" s="2" t="s">
        <v>2</v>
      </c>
      <c r="E9" s="3">
        <f t="shared" ref="E9:L9" si="4">+YEAR(E5)</f>
        <v>2023</v>
      </c>
      <c r="F9" s="3">
        <f t="shared" si="4"/>
        <v>2023</v>
      </c>
      <c r="G9" s="3">
        <f t="shared" si="4"/>
        <v>2023</v>
      </c>
      <c r="H9" s="7">
        <f t="shared" si="4"/>
        <v>2023</v>
      </c>
      <c r="I9" s="3">
        <f t="shared" si="4"/>
        <v>2024</v>
      </c>
      <c r="J9" s="3">
        <f t="shared" si="4"/>
        <v>2024</v>
      </c>
      <c r="K9" s="3">
        <f t="shared" si="4"/>
        <v>2024</v>
      </c>
      <c r="L9" s="7">
        <f t="shared" si="4"/>
        <v>2024</v>
      </c>
      <c r="M9" s="7">
        <f t="shared" ref="M9" si="5">+YEAR(M5)</f>
        <v>2024</v>
      </c>
      <c r="N9" s="3">
        <f>+YEAR(N5)</f>
        <v>2025</v>
      </c>
      <c r="O9" s="3">
        <f>+YEAR(O5)</f>
        <v>2025</v>
      </c>
      <c r="P9" s="3">
        <f>+YEAR(P5)</f>
        <v>2025</v>
      </c>
      <c r="Q9" s="7">
        <f>+YEAR(Q5)</f>
        <v>2025</v>
      </c>
      <c r="R9" s="7">
        <f t="shared" ref="R9" si="6">+YEAR(R5)</f>
        <v>2025</v>
      </c>
      <c r="S9" s="3">
        <v>2026</v>
      </c>
      <c r="T9" s="3">
        <v>2026</v>
      </c>
      <c r="U9" s="3">
        <v>2026</v>
      </c>
      <c r="V9" s="3">
        <v>2026</v>
      </c>
      <c r="W9" s="7">
        <f t="shared" ref="W9" si="7">+YEAR(W5)</f>
        <v>2026</v>
      </c>
    </row>
    <row r="11" spans="1:25" s="16" customFormat="1" ht="17.399999999999999" x14ac:dyDescent="0.3">
      <c r="A11" s="15" t="s">
        <v>7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5" x14ac:dyDescent="0.25">
      <c r="A12" s="18"/>
    </row>
    <row r="13" spans="1:25" s="18" customFormat="1" x14ac:dyDescent="0.25">
      <c r="A13" s="1"/>
      <c r="B13" s="19" t="s">
        <v>7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36"/>
    </row>
    <row r="14" spans="1:25" outlineLevel="1" x14ac:dyDescent="0.25">
      <c r="B14" s="13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38"/>
    </row>
    <row r="15" spans="1:25" s="24" customFormat="1" ht="27" customHeight="1" outlineLevel="1" x14ac:dyDescent="0.25">
      <c r="A15" s="53">
        <v>1</v>
      </c>
      <c r="B15" s="22" t="s">
        <v>32</v>
      </c>
      <c r="E15" s="39">
        <f>+SUM(E17:E39)</f>
        <v>100000</v>
      </c>
      <c r="F15" s="39">
        <f>+SUM(F17:F39)</f>
        <v>110000</v>
      </c>
      <c r="G15" s="39">
        <f>+SUM(G17:G39)</f>
        <v>490000</v>
      </c>
      <c r="H15" s="39">
        <f>+SUM(H17:H39)</f>
        <v>200000</v>
      </c>
      <c r="I15" s="39">
        <f t="shared" ref="I15:Q15" si="8">+SUM(I17:I39)</f>
        <v>0</v>
      </c>
      <c r="J15" s="39">
        <f t="shared" si="8"/>
        <v>0</v>
      </c>
      <c r="K15" s="39">
        <f t="shared" si="8"/>
        <v>0</v>
      </c>
      <c r="L15" s="39">
        <f>+SUM(L17:L39)</f>
        <v>620000</v>
      </c>
      <c r="M15" s="39">
        <f>+SUM(M17:M39)</f>
        <v>620000</v>
      </c>
      <c r="N15" s="39">
        <f t="shared" si="8"/>
        <v>0</v>
      </c>
      <c r="O15" s="39">
        <f t="shared" si="8"/>
        <v>0</v>
      </c>
      <c r="P15" s="39">
        <f t="shared" si="8"/>
        <v>0</v>
      </c>
      <c r="Q15" s="39">
        <f t="shared" si="8"/>
        <v>0</v>
      </c>
      <c r="R15" s="39">
        <f>+SUM(R17:R39)</f>
        <v>0</v>
      </c>
      <c r="S15" s="39">
        <f t="shared" ref="S15:V15" si="9">+SUM(S17:S39)</f>
        <v>0</v>
      </c>
      <c r="T15" s="39">
        <f t="shared" si="9"/>
        <v>0</v>
      </c>
      <c r="U15" s="39">
        <f t="shared" si="9"/>
        <v>0</v>
      </c>
      <c r="V15" s="39">
        <f t="shared" si="9"/>
        <v>0</v>
      </c>
      <c r="W15" s="39">
        <f>+SUM(W17:W39)</f>
        <v>0</v>
      </c>
      <c r="X15" s="40"/>
      <c r="Y15" s="40"/>
    </row>
    <row r="16" spans="1:25" outlineLevel="2" x14ac:dyDescent="0.25">
      <c r="B16" s="51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8"/>
      <c r="Y16" s="38"/>
    </row>
    <row r="17" spans="2:25" outlineLevel="2" x14ac:dyDescent="0.25">
      <c r="B17" s="13" t="s">
        <v>33</v>
      </c>
      <c r="E17" s="37">
        <v>20000</v>
      </c>
      <c r="F17" s="37">
        <v>0</v>
      </c>
      <c r="G17" s="37">
        <v>30000</v>
      </c>
      <c r="H17" s="37">
        <v>0</v>
      </c>
      <c r="I17" s="37">
        <v>0</v>
      </c>
      <c r="J17" s="37">
        <v>0</v>
      </c>
      <c r="K17" s="37">
        <v>0</v>
      </c>
      <c r="L17" s="37">
        <v>30000</v>
      </c>
      <c r="M17" s="37">
        <f>+SUM(I17:L17)</f>
        <v>30000</v>
      </c>
      <c r="N17" s="37">
        <v>0</v>
      </c>
      <c r="O17" s="37">
        <v>0</v>
      </c>
      <c r="P17" s="37">
        <v>0</v>
      </c>
      <c r="Q17" s="37">
        <v>0</v>
      </c>
      <c r="R17" s="37">
        <f>+SUM(N17:Q17)</f>
        <v>0</v>
      </c>
      <c r="S17" s="37">
        <v>0</v>
      </c>
      <c r="T17" s="37">
        <v>0</v>
      </c>
      <c r="U17" s="37">
        <v>0</v>
      </c>
      <c r="V17" s="37">
        <v>0</v>
      </c>
      <c r="W17" s="37">
        <f>+SUM(S17:V17)</f>
        <v>0</v>
      </c>
      <c r="X17" s="38"/>
      <c r="Y17" s="38"/>
    </row>
    <row r="18" spans="2:25" outlineLevel="2" x14ac:dyDescent="0.25">
      <c r="B18" s="13" t="s">
        <v>34</v>
      </c>
      <c r="E18" s="37">
        <v>20000</v>
      </c>
      <c r="F18" s="37">
        <v>0</v>
      </c>
      <c r="G18" s="37">
        <v>30000</v>
      </c>
      <c r="H18" s="37">
        <v>0</v>
      </c>
      <c r="I18" s="37">
        <v>0</v>
      </c>
      <c r="J18" s="37">
        <v>0</v>
      </c>
      <c r="K18" s="37">
        <v>0</v>
      </c>
      <c r="L18" s="37">
        <v>30000</v>
      </c>
      <c r="M18" s="37">
        <f t="shared" ref="M18:M39" si="10">+SUM(I18:L18)</f>
        <v>30000</v>
      </c>
      <c r="N18" s="37">
        <v>0</v>
      </c>
      <c r="O18" s="37">
        <v>0</v>
      </c>
      <c r="P18" s="37">
        <v>0</v>
      </c>
      <c r="Q18" s="37">
        <v>0</v>
      </c>
      <c r="R18" s="37">
        <f t="shared" ref="R18:R39" si="11">+SUM(N18:Q18)</f>
        <v>0</v>
      </c>
      <c r="S18" s="37">
        <v>0</v>
      </c>
      <c r="T18" s="37">
        <v>0</v>
      </c>
      <c r="U18" s="37">
        <v>0</v>
      </c>
      <c r="V18" s="37">
        <v>0</v>
      </c>
      <c r="W18" s="37">
        <f t="shared" ref="W18:W39" si="12">+SUM(S18:V18)</f>
        <v>0</v>
      </c>
      <c r="X18" s="38"/>
      <c r="Y18" s="38"/>
    </row>
    <row r="19" spans="2:25" outlineLevel="2" x14ac:dyDescent="0.25">
      <c r="B19" s="13" t="s">
        <v>35</v>
      </c>
      <c r="E19" s="37">
        <v>0</v>
      </c>
      <c r="F19" s="37">
        <v>0</v>
      </c>
      <c r="G19" s="37">
        <v>30000</v>
      </c>
      <c r="H19" s="37">
        <v>0</v>
      </c>
      <c r="I19" s="37">
        <v>0</v>
      </c>
      <c r="J19" s="37">
        <v>0</v>
      </c>
      <c r="K19" s="37">
        <v>0</v>
      </c>
      <c r="L19" s="37">
        <v>30000</v>
      </c>
      <c r="M19" s="37">
        <f t="shared" si="10"/>
        <v>30000</v>
      </c>
      <c r="N19" s="37">
        <v>0</v>
      </c>
      <c r="O19" s="37">
        <v>0</v>
      </c>
      <c r="P19" s="37">
        <v>0</v>
      </c>
      <c r="Q19" s="37">
        <v>0</v>
      </c>
      <c r="R19" s="37">
        <f t="shared" si="11"/>
        <v>0</v>
      </c>
      <c r="S19" s="37">
        <v>0</v>
      </c>
      <c r="T19" s="37">
        <v>0</v>
      </c>
      <c r="U19" s="37">
        <v>0</v>
      </c>
      <c r="V19" s="37">
        <v>0</v>
      </c>
      <c r="W19" s="37">
        <f t="shared" si="12"/>
        <v>0</v>
      </c>
      <c r="X19" s="38"/>
      <c r="Y19" s="38"/>
    </row>
    <row r="20" spans="2:25" outlineLevel="2" x14ac:dyDescent="0.25">
      <c r="B20" s="13" t="s">
        <v>36</v>
      </c>
      <c r="E20" s="37">
        <v>20000</v>
      </c>
      <c r="F20" s="37">
        <v>0</v>
      </c>
      <c r="G20" s="37">
        <v>20000</v>
      </c>
      <c r="H20" s="37">
        <v>10000</v>
      </c>
      <c r="I20" s="37">
        <v>0</v>
      </c>
      <c r="J20" s="37">
        <v>0</v>
      </c>
      <c r="K20" s="37">
        <v>0</v>
      </c>
      <c r="L20" s="37">
        <v>30000</v>
      </c>
      <c r="M20" s="37">
        <f t="shared" si="10"/>
        <v>30000</v>
      </c>
      <c r="N20" s="37">
        <v>0</v>
      </c>
      <c r="O20" s="37">
        <v>0</v>
      </c>
      <c r="P20" s="37">
        <v>0</v>
      </c>
      <c r="Q20" s="37">
        <v>0</v>
      </c>
      <c r="R20" s="37">
        <f t="shared" si="11"/>
        <v>0</v>
      </c>
      <c r="S20" s="37">
        <v>0</v>
      </c>
      <c r="T20" s="37">
        <v>0</v>
      </c>
      <c r="U20" s="37">
        <v>0</v>
      </c>
      <c r="V20" s="37">
        <v>0</v>
      </c>
      <c r="W20" s="37">
        <f t="shared" si="12"/>
        <v>0</v>
      </c>
      <c r="X20" s="38"/>
      <c r="Y20" s="38"/>
    </row>
    <row r="21" spans="2:25" outlineLevel="2" x14ac:dyDescent="0.25">
      <c r="B21" s="13" t="s">
        <v>37</v>
      </c>
      <c r="E21" s="37">
        <v>0</v>
      </c>
      <c r="F21" s="37">
        <v>0</v>
      </c>
      <c r="G21" s="37">
        <v>20000</v>
      </c>
      <c r="H21" s="37">
        <v>10000</v>
      </c>
      <c r="I21" s="37">
        <v>0</v>
      </c>
      <c r="J21" s="37">
        <v>0</v>
      </c>
      <c r="K21" s="37">
        <v>0</v>
      </c>
      <c r="L21" s="37">
        <v>30000</v>
      </c>
      <c r="M21" s="37">
        <f t="shared" si="10"/>
        <v>30000</v>
      </c>
      <c r="N21" s="37">
        <v>0</v>
      </c>
      <c r="O21" s="37">
        <v>0</v>
      </c>
      <c r="P21" s="37">
        <v>0</v>
      </c>
      <c r="Q21" s="37">
        <v>0</v>
      </c>
      <c r="R21" s="37">
        <f t="shared" si="11"/>
        <v>0</v>
      </c>
      <c r="S21" s="37">
        <v>0</v>
      </c>
      <c r="T21" s="37">
        <v>0</v>
      </c>
      <c r="U21" s="37">
        <v>0</v>
      </c>
      <c r="V21" s="37">
        <v>0</v>
      </c>
      <c r="W21" s="37">
        <f t="shared" si="12"/>
        <v>0</v>
      </c>
      <c r="X21" s="38"/>
      <c r="Y21" s="38"/>
    </row>
    <row r="22" spans="2:25" outlineLevel="2" x14ac:dyDescent="0.25">
      <c r="B22" s="13" t="s">
        <v>38</v>
      </c>
      <c r="E22" s="37">
        <v>20000</v>
      </c>
      <c r="F22" s="37">
        <v>0</v>
      </c>
      <c r="G22" s="37">
        <v>20000</v>
      </c>
      <c r="H22" s="37">
        <v>10000</v>
      </c>
      <c r="I22" s="37">
        <v>0</v>
      </c>
      <c r="J22" s="37">
        <v>0</v>
      </c>
      <c r="K22" s="37">
        <v>0</v>
      </c>
      <c r="L22" s="37">
        <v>30000</v>
      </c>
      <c r="M22" s="37">
        <f t="shared" si="10"/>
        <v>30000</v>
      </c>
      <c r="N22" s="37">
        <v>0</v>
      </c>
      <c r="O22" s="37">
        <v>0</v>
      </c>
      <c r="P22" s="37">
        <v>0</v>
      </c>
      <c r="Q22" s="37">
        <v>0</v>
      </c>
      <c r="R22" s="37">
        <f t="shared" si="11"/>
        <v>0</v>
      </c>
      <c r="S22" s="37">
        <v>0</v>
      </c>
      <c r="T22" s="37">
        <v>0</v>
      </c>
      <c r="U22" s="37">
        <v>0</v>
      </c>
      <c r="V22" s="37">
        <v>0</v>
      </c>
      <c r="W22" s="37">
        <f t="shared" si="12"/>
        <v>0</v>
      </c>
      <c r="X22" s="38"/>
      <c r="Y22" s="38"/>
    </row>
    <row r="23" spans="2:25" outlineLevel="2" x14ac:dyDescent="0.25">
      <c r="B23" s="13" t="s">
        <v>39</v>
      </c>
      <c r="E23" s="37">
        <v>10000</v>
      </c>
      <c r="F23" s="37">
        <v>10000</v>
      </c>
      <c r="G23" s="37">
        <v>20000</v>
      </c>
      <c r="H23" s="37">
        <v>10000</v>
      </c>
      <c r="I23" s="37">
        <v>0</v>
      </c>
      <c r="J23" s="37">
        <v>0</v>
      </c>
      <c r="K23" s="37">
        <v>0</v>
      </c>
      <c r="L23" s="37">
        <v>30000</v>
      </c>
      <c r="M23" s="37">
        <f t="shared" si="10"/>
        <v>30000</v>
      </c>
      <c r="N23" s="37">
        <v>0</v>
      </c>
      <c r="O23" s="37">
        <v>0</v>
      </c>
      <c r="P23" s="37">
        <v>0</v>
      </c>
      <c r="Q23" s="37">
        <v>0</v>
      </c>
      <c r="R23" s="37">
        <f t="shared" si="11"/>
        <v>0</v>
      </c>
      <c r="S23" s="37">
        <v>0</v>
      </c>
      <c r="T23" s="37">
        <v>0</v>
      </c>
      <c r="U23" s="37">
        <v>0</v>
      </c>
      <c r="V23" s="37">
        <v>0</v>
      </c>
      <c r="W23" s="37">
        <f t="shared" si="12"/>
        <v>0</v>
      </c>
      <c r="X23" s="38"/>
      <c r="Y23" s="38"/>
    </row>
    <row r="24" spans="2:25" outlineLevel="2" x14ac:dyDescent="0.25">
      <c r="B24" s="13" t="s">
        <v>40</v>
      </c>
      <c r="E24" s="37">
        <v>0</v>
      </c>
      <c r="F24" s="37">
        <v>20000</v>
      </c>
      <c r="G24" s="37">
        <v>20000</v>
      </c>
      <c r="H24" s="37">
        <v>10000</v>
      </c>
      <c r="I24" s="37">
        <v>0</v>
      </c>
      <c r="J24" s="37">
        <v>0</v>
      </c>
      <c r="K24" s="37">
        <v>0</v>
      </c>
      <c r="L24" s="37">
        <v>30000</v>
      </c>
      <c r="M24" s="37">
        <f t="shared" si="10"/>
        <v>30000</v>
      </c>
      <c r="N24" s="37">
        <v>0</v>
      </c>
      <c r="O24" s="37">
        <v>0</v>
      </c>
      <c r="P24" s="37">
        <v>0</v>
      </c>
      <c r="Q24" s="37">
        <v>0</v>
      </c>
      <c r="R24" s="37">
        <f t="shared" si="11"/>
        <v>0</v>
      </c>
      <c r="S24" s="37">
        <v>0</v>
      </c>
      <c r="T24" s="37">
        <v>0</v>
      </c>
      <c r="U24" s="37">
        <v>0</v>
      </c>
      <c r="V24" s="37">
        <v>0</v>
      </c>
      <c r="W24" s="37">
        <f t="shared" si="12"/>
        <v>0</v>
      </c>
      <c r="X24" s="38"/>
      <c r="Y24" s="38"/>
    </row>
    <row r="25" spans="2:25" outlineLevel="2" x14ac:dyDescent="0.25">
      <c r="B25" s="13" t="s">
        <v>41</v>
      </c>
      <c r="E25" s="37">
        <v>0</v>
      </c>
      <c r="F25" s="37">
        <v>20000</v>
      </c>
      <c r="G25" s="37">
        <v>20000</v>
      </c>
      <c r="H25" s="37">
        <v>10000</v>
      </c>
      <c r="I25" s="37">
        <v>0</v>
      </c>
      <c r="J25" s="37">
        <v>0</v>
      </c>
      <c r="K25" s="37">
        <v>0</v>
      </c>
      <c r="L25" s="37">
        <v>30000</v>
      </c>
      <c r="M25" s="37">
        <f t="shared" si="10"/>
        <v>30000</v>
      </c>
      <c r="N25" s="37">
        <v>0</v>
      </c>
      <c r="O25" s="37">
        <v>0</v>
      </c>
      <c r="P25" s="37">
        <v>0</v>
      </c>
      <c r="Q25" s="37">
        <v>0</v>
      </c>
      <c r="R25" s="37">
        <f t="shared" si="11"/>
        <v>0</v>
      </c>
      <c r="S25" s="37">
        <v>0</v>
      </c>
      <c r="T25" s="37">
        <v>0</v>
      </c>
      <c r="U25" s="37">
        <v>0</v>
      </c>
      <c r="V25" s="37">
        <v>0</v>
      </c>
      <c r="W25" s="37">
        <f t="shared" si="12"/>
        <v>0</v>
      </c>
      <c r="X25" s="38"/>
      <c r="Y25" s="38"/>
    </row>
    <row r="26" spans="2:25" outlineLevel="2" x14ac:dyDescent="0.25">
      <c r="B26" s="13" t="s">
        <v>42</v>
      </c>
      <c r="E26" s="37">
        <v>0</v>
      </c>
      <c r="F26" s="37">
        <v>0</v>
      </c>
      <c r="G26" s="37">
        <v>20000</v>
      </c>
      <c r="H26" s="37">
        <v>10000</v>
      </c>
      <c r="I26" s="37">
        <v>0</v>
      </c>
      <c r="J26" s="37">
        <v>0</v>
      </c>
      <c r="K26" s="37">
        <v>0</v>
      </c>
      <c r="L26" s="37">
        <v>30000</v>
      </c>
      <c r="M26" s="37">
        <f t="shared" si="10"/>
        <v>30000</v>
      </c>
      <c r="N26" s="37">
        <v>0</v>
      </c>
      <c r="O26" s="37">
        <v>0</v>
      </c>
      <c r="P26" s="37">
        <v>0</v>
      </c>
      <c r="Q26" s="37">
        <v>0</v>
      </c>
      <c r="R26" s="37">
        <f t="shared" si="11"/>
        <v>0</v>
      </c>
      <c r="S26" s="37">
        <v>0</v>
      </c>
      <c r="T26" s="37">
        <v>0</v>
      </c>
      <c r="U26" s="37">
        <v>0</v>
      </c>
      <c r="V26" s="37">
        <v>0</v>
      </c>
      <c r="W26" s="37">
        <f t="shared" si="12"/>
        <v>0</v>
      </c>
      <c r="X26" s="38"/>
      <c r="Y26" s="38"/>
    </row>
    <row r="27" spans="2:25" outlineLevel="2" x14ac:dyDescent="0.25">
      <c r="B27" s="13" t="s">
        <v>43</v>
      </c>
      <c r="E27" s="37">
        <v>0</v>
      </c>
      <c r="F27" s="37">
        <v>20000</v>
      </c>
      <c r="G27" s="37">
        <v>20000</v>
      </c>
      <c r="H27" s="37">
        <v>10000</v>
      </c>
      <c r="I27" s="37">
        <v>0</v>
      </c>
      <c r="J27" s="37">
        <v>0</v>
      </c>
      <c r="K27" s="37">
        <v>0</v>
      </c>
      <c r="L27" s="37">
        <v>30000</v>
      </c>
      <c r="M27" s="37">
        <f t="shared" si="10"/>
        <v>30000</v>
      </c>
      <c r="N27" s="37">
        <v>0</v>
      </c>
      <c r="O27" s="37">
        <v>0</v>
      </c>
      <c r="P27" s="37">
        <v>0</v>
      </c>
      <c r="Q27" s="37">
        <v>0</v>
      </c>
      <c r="R27" s="37">
        <f t="shared" si="11"/>
        <v>0</v>
      </c>
      <c r="S27" s="37">
        <v>0</v>
      </c>
      <c r="T27" s="37">
        <v>0</v>
      </c>
      <c r="U27" s="37">
        <v>0</v>
      </c>
      <c r="V27" s="37">
        <v>0</v>
      </c>
      <c r="W27" s="37">
        <f t="shared" si="12"/>
        <v>0</v>
      </c>
      <c r="X27" s="38"/>
      <c r="Y27" s="38"/>
    </row>
    <row r="28" spans="2:25" outlineLevel="2" x14ac:dyDescent="0.25">
      <c r="B28" s="13" t="s">
        <v>44</v>
      </c>
      <c r="E28" s="37">
        <v>0</v>
      </c>
      <c r="F28" s="37">
        <v>0</v>
      </c>
      <c r="G28" s="37">
        <v>20000</v>
      </c>
      <c r="H28" s="37">
        <v>0</v>
      </c>
      <c r="I28" s="37">
        <v>0</v>
      </c>
      <c r="J28" s="37">
        <v>0</v>
      </c>
      <c r="K28" s="37">
        <v>0</v>
      </c>
      <c r="L28" s="37">
        <v>20000</v>
      </c>
      <c r="M28" s="37">
        <f t="shared" si="10"/>
        <v>20000</v>
      </c>
      <c r="N28" s="37">
        <v>0</v>
      </c>
      <c r="O28" s="37">
        <v>0</v>
      </c>
      <c r="P28" s="37">
        <v>0</v>
      </c>
      <c r="Q28" s="37">
        <v>0</v>
      </c>
      <c r="R28" s="37">
        <f t="shared" si="11"/>
        <v>0</v>
      </c>
      <c r="S28" s="37">
        <v>0</v>
      </c>
      <c r="T28" s="37">
        <v>0</v>
      </c>
      <c r="U28" s="37">
        <v>0</v>
      </c>
      <c r="V28" s="37">
        <v>0</v>
      </c>
      <c r="W28" s="37">
        <f t="shared" si="12"/>
        <v>0</v>
      </c>
      <c r="X28" s="38"/>
      <c r="Y28" s="38"/>
    </row>
    <row r="29" spans="2:25" outlineLevel="2" x14ac:dyDescent="0.25">
      <c r="B29" s="13" t="s">
        <v>45</v>
      </c>
      <c r="E29" s="37">
        <v>0</v>
      </c>
      <c r="F29" s="37">
        <v>0</v>
      </c>
      <c r="G29" s="37">
        <v>20000</v>
      </c>
      <c r="H29" s="37">
        <v>10000</v>
      </c>
      <c r="I29" s="37">
        <v>0</v>
      </c>
      <c r="J29" s="37">
        <v>0</v>
      </c>
      <c r="K29" s="37">
        <v>0</v>
      </c>
      <c r="L29" s="37">
        <v>30000</v>
      </c>
      <c r="M29" s="37">
        <f t="shared" si="10"/>
        <v>30000</v>
      </c>
      <c r="N29" s="37">
        <v>0</v>
      </c>
      <c r="O29" s="37">
        <v>0</v>
      </c>
      <c r="P29" s="37">
        <v>0</v>
      </c>
      <c r="Q29" s="37">
        <v>0</v>
      </c>
      <c r="R29" s="37">
        <f t="shared" si="11"/>
        <v>0</v>
      </c>
      <c r="S29" s="37">
        <v>0</v>
      </c>
      <c r="T29" s="37">
        <v>0</v>
      </c>
      <c r="U29" s="37">
        <v>0</v>
      </c>
      <c r="V29" s="37">
        <v>0</v>
      </c>
      <c r="W29" s="37">
        <f t="shared" si="12"/>
        <v>0</v>
      </c>
      <c r="X29" s="38"/>
      <c r="Y29" s="38"/>
    </row>
    <row r="30" spans="2:25" outlineLevel="2" x14ac:dyDescent="0.25">
      <c r="B30" s="13" t="s">
        <v>46</v>
      </c>
      <c r="E30" s="37">
        <v>0</v>
      </c>
      <c r="F30" s="37">
        <v>20000</v>
      </c>
      <c r="G30" s="37">
        <v>20000</v>
      </c>
      <c r="H30" s="37">
        <v>10000</v>
      </c>
      <c r="I30" s="37">
        <v>0</v>
      </c>
      <c r="J30" s="37">
        <v>0</v>
      </c>
      <c r="K30" s="37">
        <v>0</v>
      </c>
      <c r="L30" s="37">
        <v>30000</v>
      </c>
      <c r="M30" s="37">
        <f t="shared" si="10"/>
        <v>30000</v>
      </c>
      <c r="N30" s="37">
        <v>0</v>
      </c>
      <c r="O30" s="37">
        <v>0</v>
      </c>
      <c r="P30" s="37">
        <v>0</v>
      </c>
      <c r="Q30" s="37">
        <v>0</v>
      </c>
      <c r="R30" s="37">
        <f t="shared" si="11"/>
        <v>0</v>
      </c>
      <c r="S30" s="37">
        <v>0</v>
      </c>
      <c r="T30" s="37">
        <v>0</v>
      </c>
      <c r="U30" s="37">
        <v>0</v>
      </c>
      <c r="V30" s="37">
        <v>0</v>
      </c>
      <c r="W30" s="37">
        <f t="shared" si="12"/>
        <v>0</v>
      </c>
      <c r="X30" s="38"/>
      <c r="Y30" s="38"/>
    </row>
    <row r="31" spans="2:25" outlineLevel="2" x14ac:dyDescent="0.25">
      <c r="B31" s="13" t="s">
        <v>47</v>
      </c>
      <c r="E31" s="37">
        <v>0</v>
      </c>
      <c r="F31" s="37">
        <v>10000</v>
      </c>
      <c r="G31" s="37">
        <v>20000</v>
      </c>
      <c r="H31" s="37">
        <v>10000</v>
      </c>
      <c r="I31" s="37">
        <v>0</v>
      </c>
      <c r="J31" s="37">
        <v>0</v>
      </c>
      <c r="K31" s="37">
        <v>0</v>
      </c>
      <c r="L31" s="37">
        <v>20000</v>
      </c>
      <c r="M31" s="37">
        <f t="shared" si="10"/>
        <v>20000</v>
      </c>
      <c r="N31" s="37">
        <v>0</v>
      </c>
      <c r="O31" s="37">
        <v>0</v>
      </c>
      <c r="P31" s="37">
        <v>0</v>
      </c>
      <c r="Q31" s="37">
        <v>0</v>
      </c>
      <c r="R31" s="37">
        <f t="shared" si="11"/>
        <v>0</v>
      </c>
      <c r="S31" s="37">
        <v>0</v>
      </c>
      <c r="T31" s="37">
        <v>0</v>
      </c>
      <c r="U31" s="37">
        <v>0</v>
      </c>
      <c r="V31" s="37">
        <v>0</v>
      </c>
      <c r="W31" s="37">
        <f t="shared" si="12"/>
        <v>0</v>
      </c>
      <c r="X31" s="38"/>
      <c r="Y31" s="38"/>
    </row>
    <row r="32" spans="2:25" outlineLevel="2" x14ac:dyDescent="0.25">
      <c r="B32" s="13" t="s">
        <v>48</v>
      </c>
      <c r="E32" s="37">
        <v>10000</v>
      </c>
      <c r="F32" s="37">
        <v>0</v>
      </c>
      <c r="G32" s="37">
        <v>20000</v>
      </c>
      <c r="H32" s="37">
        <v>10000</v>
      </c>
      <c r="I32" s="37">
        <v>0</v>
      </c>
      <c r="J32" s="37">
        <v>0</v>
      </c>
      <c r="K32" s="37">
        <v>0</v>
      </c>
      <c r="L32" s="37">
        <v>30000</v>
      </c>
      <c r="M32" s="37">
        <f t="shared" si="10"/>
        <v>30000</v>
      </c>
      <c r="N32" s="37">
        <v>0</v>
      </c>
      <c r="O32" s="37">
        <v>0</v>
      </c>
      <c r="P32" s="37">
        <v>0</v>
      </c>
      <c r="Q32" s="37">
        <v>0</v>
      </c>
      <c r="R32" s="37">
        <f t="shared" si="11"/>
        <v>0</v>
      </c>
      <c r="S32" s="37">
        <v>0</v>
      </c>
      <c r="T32" s="37">
        <v>0</v>
      </c>
      <c r="U32" s="37">
        <v>0</v>
      </c>
      <c r="V32" s="37">
        <v>0</v>
      </c>
      <c r="W32" s="37">
        <f t="shared" si="12"/>
        <v>0</v>
      </c>
      <c r="X32" s="38"/>
      <c r="Y32" s="38"/>
    </row>
    <row r="33" spans="1:25" outlineLevel="2" x14ac:dyDescent="0.25">
      <c r="B33" s="13" t="s">
        <v>49</v>
      </c>
      <c r="E33" s="37">
        <v>0</v>
      </c>
      <c r="F33" s="37">
        <v>0</v>
      </c>
      <c r="G33" s="37">
        <v>20000</v>
      </c>
      <c r="H33" s="37">
        <v>10000</v>
      </c>
      <c r="I33" s="37">
        <v>0</v>
      </c>
      <c r="J33" s="37">
        <v>0</v>
      </c>
      <c r="K33" s="37">
        <v>0</v>
      </c>
      <c r="L33" s="37">
        <v>30000</v>
      </c>
      <c r="M33" s="37">
        <f t="shared" si="10"/>
        <v>30000</v>
      </c>
      <c r="N33" s="37">
        <v>0</v>
      </c>
      <c r="O33" s="37">
        <v>0</v>
      </c>
      <c r="P33" s="37">
        <v>0</v>
      </c>
      <c r="Q33" s="37">
        <v>0</v>
      </c>
      <c r="R33" s="37">
        <f t="shared" si="11"/>
        <v>0</v>
      </c>
      <c r="S33" s="37">
        <v>0</v>
      </c>
      <c r="T33" s="37">
        <v>0</v>
      </c>
      <c r="U33" s="37">
        <v>0</v>
      </c>
      <c r="V33" s="37">
        <v>0</v>
      </c>
      <c r="W33" s="37">
        <f t="shared" si="12"/>
        <v>0</v>
      </c>
      <c r="X33" s="38"/>
      <c r="Y33" s="38"/>
    </row>
    <row r="34" spans="1:25" outlineLevel="2" x14ac:dyDescent="0.25">
      <c r="B34" s="13" t="s">
        <v>50</v>
      </c>
      <c r="E34" s="37">
        <v>0</v>
      </c>
      <c r="F34" s="37">
        <v>0</v>
      </c>
      <c r="G34" s="37">
        <v>20000</v>
      </c>
      <c r="H34" s="37">
        <v>10000</v>
      </c>
      <c r="I34" s="37">
        <v>0</v>
      </c>
      <c r="J34" s="37">
        <v>0</v>
      </c>
      <c r="K34" s="37">
        <v>0</v>
      </c>
      <c r="L34" s="37">
        <v>20000</v>
      </c>
      <c r="M34" s="37">
        <f t="shared" si="10"/>
        <v>20000</v>
      </c>
      <c r="N34" s="37">
        <v>0</v>
      </c>
      <c r="O34" s="37">
        <v>0</v>
      </c>
      <c r="P34" s="37">
        <v>0</v>
      </c>
      <c r="Q34" s="37">
        <v>0</v>
      </c>
      <c r="R34" s="37">
        <f t="shared" si="11"/>
        <v>0</v>
      </c>
      <c r="S34" s="37">
        <v>0</v>
      </c>
      <c r="T34" s="37">
        <v>0</v>
      </c>
      <c r="U34" s="37">
        <v>0</v>
      </c>
      <c r="V34" s="37">
        <v>0</v>
      </c>
      <c r="W34" s="37">
        <f t="shared" si="12"/>
        <v>0</v>
      </c>
      <c r="X34" s="38"/>
      <c r="Y34" s="38"/>
    </row>
    <row r="35" spans="1:25" outlineLevel="2" x14ac:dyDescent="0.25">
      <c r="B35" s="13" t="s">
        <v>51</v>
      </c>
      <c r="E35" s="37">
        <v>0</v>
      </c>
      <c r="F35" s="37">
        <v>10000</v>
      </c>
      <c r="G35" s="37">
        <v>20000</v>
      </c>
      <c r="H35" s="37">
        <v>10000</v>
      </c>
      <c r="I35" s="37">
        <v>0</v>
      </c>
      <c r="J35" s="37">
        <v>0</v>
      </c>
      <c r="K35" s="37">
        <v>0</v>
      </c>
      <c r="L35" s="37">
        <v>20000</v>
      </c>
      <c r="M35" s="37">
        <f t="shared" si="10"/>
        <v>20000</v>
      </c>
      <c r="N35" s="37">
        <v>0</v>
      </c>
      <c r="O35" s="37">
        <v>0</v>
      </c>
      <c r="P35" s="37">
        <v>0</v>
      </c>
      <c r="Q35" s="37">
        <v>0</v>
      </c>
      <c r="R35" s="37">
        <f t="shared" si="11"/>
        <v>0</v>
      </c>
      <c r="S35" s="37">
        <v>0</v>
      </c>
      <c r="T35" s="37">
        <v>0</v>
      </c>
      <c r="U35" s="37">
        <v>0</v>
      </c>
      <c r="V35" s="37">
        <v>0</v>
      </c>
      <c r="W35" s="37">
        <f t="shared" si="12"/>
        <v>0</v>
      </c>
      <c r="X35" s="38"/>
      <c r="Y35" s="38"/>
    </row>
    <row r="36" spans="1:25" outlineLevel="2" x14ac:dyDescent="0.25">
      <c r="B36" s="13" t="s">
        <v>52</v>
      </c>
      <c r="E36" s="37">
        <v>0</v>
      </c>
      <c r="F36" s="37">
        <v>0</v>
      </c>
      <c r="G36" s="37">
        <v>20000</v>
      </c>
      <c r="H36" s="37">
        <v>10000</v>
      </c>
      <c r="I36" s="37">
        <v>0</v>
      </c>
      <c r="J36" s="37">
        <v>0</v>
      </c>
      <c r="K36" s="37">
        <v>0</v>
      </c>
      <c r="L36" s="37">
        <v>30000</v>
      </c>
      <c r="M36" s="37">
        <f t="shared" si="10"/>
        <v>30000</v>
      </c>
      <c r="N36" s="37">
        <v>0</v>
      </c>
      <c r="O36" s="37">
        <v>0</v>
      </c>
      <c r="P36" s="37">
        <v>0</v>
      </c>
      <c r="Q36" s="37">
        <v>0</v>
      </c>
      <c r="R36" s="37">
        <f t="shared" si="11"/>
        <v>0</v>
      </c>
      <c r="S36" s="37">
        <v>0</v>
      </c>
      <c r="T36" s="37">
        <v>0</v>
      </c>
      <c r="U36" s="37">
        <v>0</v>
      </c>
      <c r="V36" s="37">
        <v>0</v>
      </c>
      <c r="W36" s="37">
        <f t="shared" si="12"/>
        <v>0</v>
      </c>
      <c r="X36" s="38"/>
      <c r="Y36" s="38"/>
    </row>
    <row r="37" spans="1:25" outlineLevel="2" x14ac:dyDescent="0.25">
      <c r="B37" s="13" t="s">
        <v>53</v>
      </c>
      <c r="E37" s="37">
        <v>0</v>
      </c>
      <c r="F37" s="37">
        <v>0</v>
      </c>
      <c r="G37" s="37">
        <v>20000</v>
      </c>
      <c r="H37" s="37">
        <v>10000</v>
      </c>
      <c r="I37" s="37">
        <v>0</v>
      </c>
      <c r="J37" s="37">
        <v>0</v>
      </c>
      <c r="K37" s="37">
        <v>0</v>
      </c>
      <c r="L37" s="37">
        <v>20000</v>
      </c>
      <c r="M37" s="37">
        <f t="shared" si="10"/>
        <v>20000</v>
      </c>
      <c r="N37" s="37">
        <v>0</v>
      </c>
      <c r="O37" s="37">
        <v>0</v>
      </c>
      <c r="P37" s="37">
        <v>0</v>
      </c>
      <c r="Q37" s="37">
        <v>0</v>
      </c>
      <c r="R37" s="37">
        <f t="shared" si="11"/>
        <v>0</v>
      </c>
      <c r="S37" s="37">
        <v>0</v>
      </c>
      <c r="T37" s="37">
        <v>0</v>
      </c>
      <c r="U37" s="37">
        <v>0</v>
      </c>
      <c r="V37" s="37">
        <v>0</v>
      </c>
      <c r="W37" s="37">
        <f t="shared" si="12"/>
        <v>0</v>
      </c>
      <c r="X37" s="38"/>
      <c r="Y37" s="38"/>
    </row>
    <row r="38" spans="1:25" outlineLevel="2" x14ac:dyDescent="0.25">
      <c r="B38" s="13" t="s">
        <v>54</v>
      </c>
      <c r="E38" s="37">
        <v>0</v>
      </c>
      <c r="F38" s="37">
        <v>0</v>
      </c>
      <c r="G38" s="37">
        <v>20000</v>
      </c>
      <c r="H38" s="37">
        <v>10000</v>
      </c>
      <c r="I38" s="37">
        <v>0</v>
      </c>
      <c r="J38" s="37">
        <v>0</v>
      </c>
      <c r="K38" s="37">
        <v>0</v>
      </c>
      <c r="L38" s="37">
        <v>20000</v>
      </c>
      <c r="M38" s="37">
        <f t="shared" si="10"/>
        <v>20000</v>
      </c>
      <c r="N38" s="37">
        <v>0</v>
      </c>
      <c r="O38" s="37">
        <v>0</v>
      </c>
      <c r="P38" s="37">
        <v>0</v>
      </c>
      <c r="Q38" s="37">
        <v>0</v>
      </c>
      <c r="R38" s="37">
        <f t="shared" si="11"/>
        <v>0</v>
      </c>
      <c r="S38" s="37">
        <v>0</v>
      </c>
      <c r="T38" s="37">
        <v>0</v>
      </c>
      <c r="U38" s="37">
        <v>0</v>
      </c>
      <c r="V38" s="37">
        <v>0</v>
      </c>
      <c r="W38" s="37">
        <f t="shared" si="12"/>
        <v>0</v>
      </c>
      <c r="X38" s="38"/>
      <c r="Y38" s="38"/>
    </row>
    <row r="39" spans="1:25" outlineLevel="2" x14ac:dyDescent="0.25">
      <c r="B39" s="13" t="s">
        <v>55</v>
      </c>
      <c r="E39" s="37">
        <v>0</v>
      </c>
      <c r="F39" s="37">
        <v>0</v>
      </c>
      <c r="G39" s="37">
        <v>20000</v>
      </c>
      <c r="H39" s="37">
        <v>20000</v>
      </c>
      <c r="I39" s="37">
        <v>0</v>
      </c>
      <c r="J39" s="37">
        <v>0</v>
      </c>
      <c r="K39" s="37">
        <v>0</v>
      </c>
      <c r="L39" s="37">
        <v>20000</v>
      </c>
      <c r="M39" s="37">
        <f t="shared" si="10"/>
        <v>20000</v>
      </c>
      <c r="N39" s="37">
        <v>0</v>
      </c>
      <c r="O39" s="37">
        <v>0</v>
      </c>
      <c r="P39" s="37">
        <v>0</v>
      </c>
      <c r="Q39" s="37">
        <v>0</v>
      </c>
      <c r="R39" s="37">
        <f t="shared" si="11"/>
        <v>0</v>
      </c>
      <c r="S39" s="37">
        <v>0</v>
      </c>
      <c r="T39" s="37">
        <v>0</v>
      </c>
      <c r="U39" s="37">
        <v>0</v>
      </c>
      <c r="V39" s="37">
        <v>0</v>
      </c>
      <c r="W39" s="37">
        <f t="shared" si="12"/>
        <v>0</v>
      </c>
      <c r="X39" s="38"/>
      <c r="Y39" s="38"/>
    </row>
    <row r="40" spans="1:25" outlineLevel="2" x14ac:dyDescent="0.25">
      <c r="B40" s="13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47"/>
      <c r="R40" s="37"/>
      <c r="S40" s="37"/>
      <c r="T40" s="37"/>
      <c r="U40" s="37"/>
      <c r="V40" s="37"/>
      <c r="W40" s="37"/>
      <c r="X40" s="38"/>
      <c r="Y40" s="38"/>
    </row>
    <row r="41" spans="1:25" outlineLevel="2" x14ac:dyDescent="0.25">
      <c r="B41" s="1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8"/>
      <c r="Y41" s="38"/>
    </row>
    <row r="42" spans="1:25" s="24" customFormat="1" outlineLevel="1" x14ac:dyDescent="0.25">
      <c r="A42" s="21">
        <f>+A15+1</f>
        <v>2</v>
      </c>
      <c r="B42" s="23" t="s">
        <v>8</v>
      </c>
      <c r="E42" s="39">
        <f t="shared" ref="E42:R42" si="13">+SUM(E44:E45)</f>
        <v>0</v>
      </c>
      <c r="F42" s="39">
        <f t="shared" si="13"/>
        <v>0</v>
      </c>
      <c r="G42" s="39">
        <f t="shared" si="13"/>
        <v>0</v>
      </c>
      <c r="H42" s="39">
        <f t="shared" si="13"/>
        <v>0</v>
      </c>
      <c r="I42" s="39">
        <v>0</v>
      </c>
      <c r="J42" s="39">
        <f t="shared" si="13"/>
        <v>0</v>
      </c>
      <c r="K42" s="39">
        <f t="shared" si="13"/>
        <v>0</v>
      </c>
      <c r="L42" s="39">
        <f t="shared" si="13"/>
        <v>0</v>
      </c>
      <c r="M42" s="39">
        <f t="shared" ref="M42" si="14">+SUM(M44:M45)</f>
        <v>0</v>
      </c>
      <c r="N42" s="39">
        <f t="shared" si="13"/>
        <v>0</v>
      </c>
      <c r="O42" s="39">
        <f t="shared" si="13"/>
        <v>0</v>
      </c>
      <c r="P42" s="39">
        <f t="shared" si="13"/>
        <v>0</v>
      </c>
      <c r="Q42" s="39">
        <f t="shared" si="13"/>
        <v>0</v>
      </c>
      <c r="R42" s="39">
        <f t="shared" si="13"/>
        <v>0</v>
      </c>
      <c r="S42" s="39">
        <f t="shared" ref="S42:W42" si="15">+SUM(S44:S45)</f>
        <v>0</v>
      </c>
      <c r="T42" s="39">
        <f t="shared" si="15"/>
        <v>0</v>
      </c>
      <c r="U42" s="39">
        <f t="shared" si="15"/>
        <v>0</v>
      </c>
      <c r="V42" s="39">
        <f t="shared" si="15"/>
        <v>0</v>
      </c>
      <c r="W42" s="39">
        <f t="shared" si="15"/>
        <v>0</v>
      </c>
      <c r="X42" s="40"/>
      <c r="Y42" s="40"/>
    </row>
    <row r="43" spans="1:25" outlineLevel="2" x14ac:dyDescent="0.25">
      <c r="A43" s="20"/>
      <c r="B43" s="14"/>
      <c r="E43" s="37"/>
      <c r="F43" s="37"/>
      <c r="G43" s="37"/>
      <c r="H43" s="37"/>
      <c r="I43" s="39">
        <v>0</v>
      </c>
      <c r="J43" s="37"/>
      <c r="K43" s="37"/>
      <c r="L43" s="37"/>
      <c r="M43" s="37">
        <f t="shared" ref="M43:M46" si="16">+SUM(I43:L43)</f>
        <v>0</v>
      </c>
      <c r="N43" s="37"/>
      <c r="O43" s="37"/>
      <c r="P43" s="37"/>
      <c r="Q43" s="37"/>
      <c r="R43" s="37">
        <f t="shared" ref="R43:R46" si="17">+SUM(N43:Q43)</f>
        <v>0</v>
      </c>
      <c r="S43" s="37"/>
      <c r="T43" s="37"/>
      <c r="U43" s="37"/>
      <c r="V43" s="37"/>
      <c r="W43" s="37">
        <f t="shared" ref="W43:W46" si="18">+SUM(S43:V43)</f>
        <v>0</v>
      </c>
      <c r="X43" s="38"/>
      <c r="Y43" s="38"/>
    </row>
    <row r="44" spans="1:25" outlineLevel="2" x14ac:dyDescent="0.25">
      <c r="B44" s="13" t="s">
        <v>20</v>
      </c>
      <c r="E44" s="37"/>
      <c r="F44" s="37"/>
      <c r="G44" s="37"/>
      <c r="H44" s="37"/>
      <c r="I44" s="39">
        <v>0</v>
      </c>
      <c r="J44" s="37"/>
      <c r="K44" s="37"/>
      <c r="L44" s="37"/>
      <c r="M44" s="37">
        <f t="shared" si="16"/>
        <v>0</v>
      </c>
      <c r="N44" s="37"/>
      <c r="O44" s="37"/>
      <c r="P44" s="37"/>
      <c r="Q44" s="37"/>
      <c r="R44" s="37">
        <f t="shared" si="17"/>
        <v>0</v>
      </c>
      <c r="S44" s="37"/>
      <c r="T44" s="37"/>
      <c r="U44" s="37"/>
      <c r="V44" s="37"/>
      <c r="W44" s="37">
        <f t="shared" si="18"/>
        <v>0</v>
      </c>
      <c r="X44" s="38"/>
      <c r="Y44" s="38"/>
    </row>
    <row r="45" spans="1:25" outlineLevel="2" x14ac:dyDescent="0.25">
      <c r="B45" s="13" t="s">
        <v>20</v>
      </c>
      <c r="C45" s="1" t="s">
        <v>21</v>
      </c>
      <c r="E45" s="37"/>
      <c r="F45" s="37"/>
      <c r="G45" s="37"/>
      <c r="H45" s="37"/>
      <c r="I45" s="39">
        <v>0</v>
      </c>
      <c r="J45" s="37"/>
      <c r="K45" s="37"/>
      <c r="L45" s="37"/>
      <c r="M45" s="37">
        <f t="shared" si="16"/>
        <v>0</v>
      </c>
      <c r="N45" s="37"/>
      <c r="O45" s="37"/>
      <c r="P45" s="37"/>
      <c r="Q45" s="37"/>
      <c r="R45" s="37">
        <f t="shared" si="17"/>
        <v>0</v>
      </c>
      <c r="S45" s="37"/>
      <c r="T45" s="37"/>
      <c r="U45" s="37"/>
      <c r="V45" s="37"/>
      <c r="W45" s="37">
        <f t="shared" si="18"/>
        <v>0</v>
      </c>
      <c r="X45" s="38"/>
      <c r="Y45" s="38"/>
    </row>
    <row r="46" spans="1:25" outlineLevel="2" x14ac:dyDescent="0.25">
      <c r="A46" s="20"/>
      <c r="B46" s="14"/>
      <c r="E46" s="37"/>
      <c r="F46" s="37"/>
      <c r="G46" s="37"/>
      <c r="H46" s="37"/>
      <c r="I46" s="39">
        <v>0</v>
      </c>
      <c r="J46" s="37"/>
      <c r="K46" s="37"/>
      <c r="L46" s="37"/>
      <c r="M46" s="37">
        <f t="shared" si="16"/>
        <v>0</v>
      </c>
      <c r="N46" s="37"/>
      <c r="O46" s="37"/>
      <c r="P46" s="37"/>
      <c r="Q46" s="37"/>
      <c r="R46" s="37">
        <f t="shared" si="17"/>
        <v>0</v>
      </c>
      <c r="S46" s="37"/>
      <c r="T46" s="37"/>
      <c r="U46" s="37"/>
      <c r="V46" s="37"/>
      <c r="W46" s="37">
        <f t="shared" si="18"/>
        <v>0</v>
      </c>
      <c r="X46" s="38"/>
      <c r="Y46" s="38"/>
    </row>
    <row r="47" spans="1:25" s="24" customFormat="1" outlineLevel="1" x14ac:dyDescent="0.25">
      <c r="A47" s="21">
        <f>+A42+1</f>
        <v>3</v>
      </c>
      <c r="B47" s="23" t="s">
        <v>9</v>
      </c>
      <c r="E47" s="39">
        <f t="shared" ref="E47:R47" si="19">+SUM(E49:E50)</f>
        <v>0</v>
      </c>
      <c r="F47" s="39">
        <f t="shared" si="19"/>
        <v>0</v>
      </c>
      <c r="G47" s="39">
        <f t="shared" si="19"/>
        <v>0</v>
      </c>
      <c r="H47" s="39">
        <f t="shared" si="19"/>
        <v>0</v>
      </c>
      <c r="I47" s="39">
        <v>0</v>
      </c>
      <c r="J47" s="39">
        <f t="shared" si="19"/>
        <v>0</v>
      </c>
      <c r="K47" s="39">
        <f t="shared" si="19"/>
        <v>0</v>
      </c>
      <c r="L47" s="39">
        <f t="shared" si="19"/>
        <v>0</v>
      </c>
      <c r="M47" s="39">
        <f t="shared" ref="M47" si="20">+SUM(M49:M50)</f>
        <v>0</v>
      </c>
      <c r="N47" s="39">
        <f t="shared" si="19"/>
        <v>0</v>
      </c>
      <c r="O47" s="39">
        <f t="shared" si="19"/>
        <v>0</v>
      </c>
      <c r="P47" s="39">
        <f t="shared" si="19"/>
        <v>0</v>
      </c>
      <c r="Q47" s="39">
        <f t="shared" si="19"/>
        <v>0</v>
      </c>
      <c r="R47" s="39">
        <f t="shared" si="19"/>
        <v>0</v>
      </c>
      <c r="S47" s="39">
        <f t="shared" ref="S47:W47" si="21">+SUM(S49:S50)</f>
        <v>0</v>
      </c>
      <c r="T47" s="39">
        <f t="shared" si="21"/>
        <v>0</v>
      </c>
      <c r="U47" s="39">
        <f t="shared" si="21"/>
        <v>0</v>
      </c>
      <c r="V47" s="39">
        <f t="shared" si="21"/>
        <v>0</v>
      </c>
      <c r="W47" s="39">
        <f t="shared" si="21"/>
        <v>0</v>
      </c>
      <c r="X47" s="40"/>
      <c r="Y47" s="40"/>
    </row>
    <row r="48" spans="1:25" outlineLevel="2" x14ac:dyDescent="0.25">
      <c r="A48" s="20"/>
      <c r="B48" s="14"/>
      <c r="E48" s="37"/>
      <c r="F48" s="37"/>
      <c r="G48" s="37"/>
      <c r="H48" s="37"/>
      <c r="I48" s="39">
        <v>0</v>
      </c>
      <c r="J48" s="37"/>
      <c r="K48" s="37"/>
      <c r="L48" s="37"/>
      <c r="M48" s="37">
        <f t="shared" ref="M48:M51" si="22">+SUM(I48:L48)</f>
        <v>0</v>
      </c>
      <c r="N48" s="37"/>
      <c r="O48" s="37"/>
      <c r="P48" s="37"/>
      <c r="Q48" s="37"/>
      <c r="R48" s="37">
        <f t="shared" ref="R48:R51" si="23">+SUM(N48:Q48)</f>
        <v>0</v>
      </c>
      <c r="S48" s="37"/>
      <c r="T48" s="37"/>
      <c r="U48" s="37"/>
      <c r="V48" s="37"/>
      <c r="W48" s="37">
        <f t="shared" ref="W48:W51" si="24">+SUM(S48:V48)</f>
        <v>0</v>
      </c>
      <c r="X48" s="38"/>
      <c r="Y48" s="38"/>
    </row>
    <row r="49" spans="1:25" outlineLevel="2" x14ac:dyDescent="0.25">
      <c r="B49" s="13" t="s">
        <v>20</v>
      </c>
      <c r="E49" s="37"/>
      <c r="F49" s="37"/>
      <c r="G49" s="37"/>
      <c r="H49" s="37"/>
      <c r="I49" s="39">
        <v>0</v>
      </c>
      <c r="J49" s="37"/>
      <c r="K49" s="37"/>
      <c r="L49" s="37"/>
      <c r="M49" s="37">
        <f t="shared" si="22"/>
        <v>0</v>
      </c>
      <c r="N49" s="37"/>
      <c r="O49" s="37"/>
      <c r="P49" s="37"/>
      <c r="Q49" s="37"/>
      <c r="R49" s="37">
        <f t="shared" si="23"/>
        <v>0</v>
      </c>
      <c r="S49" s="37"/>
      <c r="T49" s="37"/>
      <c r="U49" s="37"/>
      <c r="V49" s="37"/>
      <c r="W49" s="37">
        <f t="shared" si="24"/>
        <v>0</v>
      </c>
      <c r="X49" s="38"/>
      <c r="Y49" s="38"/>
    </row>
    <row r="50" spans="1:25" outlineLevel="2" x14ac:dyDescent="0.25">
      <c r="B50" s="13" t="s">
        <v>20</v>
      </c>
      <c r="C50" s="1" t="s">
        <v>21</v>
      </c>
      <c r="E50" s="37"/>
      <c r="F50" s="37"/>
      <c r="G50" s="37"/>
      <c r="H50" s="37"/>
      <c r="I50" s="39">
        <v>0</v>
      </c>
      <c r="J50" s="37"/>
      <c r="K50" s="37"/>
      <c r="L50" s="37"/>
      <c r="M50" s="37">
        <f t="shared" si="22"/>
        <v>0</v>
      </c>
      <c r="N50" s="37"/>
      <c r="O50" s="37"/>
      <c r="P50" s="37"/>
      <c r="Q50" s="37"/>
      <c r="R50" s="37">
        <f t="shared" si="23"/>
        <v>0</v>
      </c>
      <c r="S50" s="37"/>
      <c r="T50" s="37"/>
      <c r="U50" s="37"/>
      <c r="V50" s="37"/>
      <c r="W50" s="37">
        <f t="shared" si="24"/>
        <v>0</v>
      </c>
      <c r="X50" s="38"/>
      <c r="Y50" s="38"/>
    </row>
    <row r="51" spans="1:25" outlineLevel="2" x14ac:dyDescent="0.25">
      <c r="A51" s="20"/>
      <c r="B51" s="14"/>
      <c r="E51" s="37"/>
      <c r="F51" s="37"/>
      <c r="G51" s="37"/>
      <c r="H51" s="37"/>
      <c r="I51" s="39">
        <v>0</v>
      </c>
      <c r="J51" s="37"/>
      <c r="K51" s="37"/>
      <c r="L51" s="37"/>
      <c r="M51" s="37">
        <f t="shared" si="22"/>
        <v>0</v>
      </c>
      <c r="N51" s="37"/>
      <c r="O51" s="37"/>
      <c r="P51" s="37"/>
      <c r="Q51" s="37"/>
      <c r="R51" s="37">
        <f t="shared" si="23"/>
        <v>0</v>
      </c>
      <c r="S51" s="37"/>
      <c r="T51" s="37"/>
      <c r="U51" s="37"/>
      <c r="V51" s="37"/>
      <c r="W51" s="37">
        <f t="shared" si="24"/>
        <v>0</v>
      </c>
      <c r="X51" s="38"/>
      <c r="Y51" s="38"/>
    </row>
    <row r="52" spans="1:25" s="24" customFormat="1" outlineLevel="1" x14ac:dyDescent="0.25">
      <c r="A52" s="21">
        <f>+A47+1</f>
        <v>4</v>
      </c>
      <c r="B52" s="22" t="s">
        <v>10</v>
      </c>
      <c r="E52" s="39">
        <f t="shared" ref="E52:R52" si="25">+SUM(E54:E55)</f>
        <v>0</v>
      </c>
      <c r="F52" s="39">
        <f t="shared" si="25"/>
        <v>0</v>
      </c>
      <c r="G52" s="39">
        <f t="shared" si="25"/>
        <v>0</v>
      </c>
      <c r="H52" s="39">
        <f t="shared" si="25"/>
        <v>0</v>
      </c>
      <c r="I52" s="39">
        <v>0</v>
      </c>
      <c r="J52" s="39">
        <f t="shared" si="25"/>
        <v>0</v>
      </c>
      <c r="K52" s="39">
        <f t="shared" si="25"/>
        <v>0</v>
      </c>
      <c r="L52" s="39">
        <f t="shared" si="25"/>
        <v>0</v>
      </c>
      <c r="M52" s="39">
        <f t="shared" ref="M52" si="26">+SUM(M54:M55)</f>
        <v>0</v>
      </c>
      <c r="N52" s="39">
        <f t="shared" si="25"/>
        <v>0</v>
      </c>
      <c r="O52" s="39">
        <f t="shared" si="25"/>
        <v>0</v>
      </c>
      <c r="P52" s="39">
        <f t="shared" si="25"/>
        <v>0</v>
      </c>
      <c r="Q52" s="39">
        <f t="shared" si="25"/>
        <v>0</v>
      </c>
      <c r="R52" s="39">
        <f t="shared" si="25"/>
        <v>0</v>
      </c>
      <c r="S52" s="39">
        <f t="shared" ref="S52:W52" si="27">+SUM(S54:S55)</f>
        <v>0</v>
      </c>
      <c r="T52" s="39">
        <f t="shared" si="27"/>
        <v>0</v>
      </c>
      <c r="U52" s="39">
        <f t="shared" si="27"/>
        <v>0</v>
      </c>
      <c r="V52" s="39">
        <f t="shared" si="27"/>
        <v>0</v>
      </c>
      <c r="W52" s="39">
        <f t="shared" si="27"/>
        <v>0</v>
      </c>
      <c r="X52" s="40"/>
      <c r="Y52" s="40"/>
    </row>
    <row r="53" spans="1:25" outlineLevel="2" x14ac:dyDescent="0.25">
      <c r="A53" s="20"/>
      <c r="B53" s="13"/>
      <c r="E53" s="37"/>
      <c r="F53" s="37"/>
      <c r="G53" s="37"/>
      <c r="H53" s="37"/>
      <c r="I53" s="39">
        <v>0</v>
      </c>
      <c r="J53" s="37"/>
      <c r="K53" s="37"/>
      <c r="L53" s="37"/>
      <c r="M53" s="37">
        <f t="shared" ref="M53:M56" si="28">+SUM(I53:L53)</f>
        <v>0</v>
      </c>
      <c r="N53" s="37"/>
      <c r="O53" s="37"/>
      <c r="P53" s="37"/>
      <c r="Q53" s="37"/>
      <c r="R53" s="37">
        <f t="shared" ref="R53:R56" si="29">+SUM(N53:Q53)</f>
        <v>0</v>
      </c>
      <c r="S53" s="37"/>
      <c r="T53" s="37"/>
      <c r="U53" s="37"/>
      <c r="V53" s="37"/>
      <c r="W53" s="37">
        <f t="shared" ref="W53:W56" si="30">+SUM(S53:V53)</f>
        <v>0</v>
      </c>
      <c r="X53" s="38"/>
      <c r="Y53" s="38"/>
    </row>
    <row r="54" spans="1:25" outlineLevel="2" x14ac:dyDescent="0.25">
      <c r="B54" s="13" t="s">
        <v>20</v>
      </c>
      <c r="E54" s="37"/>
      <c r="F54" s="37"/>
      <c r="G54" s="37"/>
      <c r="H54" s="37"/>
      <c r="I54" s="39">
        <v>0</v>
      </c>
      <c r="J54" s="37"/>
      <c r="K54" s="37"/>
      <c r="L54" s="37"/>
      <c r="M54" s="37">
        <f t="shared" si="28"/>
        <v>0</v>
      </c>
      <c r="N54" s="37"/>
      <c r="O54" s="37"/>
      <c r="P54" s="37"/>
      <c r="Q54" s="37"/>
      <c r="R54" s="37">
        <f t="shared" si="29"/>
        <v>0</v>
      </c>
      <c r="S54" s="37"/>
      <c r="T54" s="37"/>
      <c r="U54" s="37"/>
      <c r="V54" s="37"/>
      <c r="W54" s="37">
        <f t="shared" si="30"/>
        <v>0</v>
      </c>
      <c r="X54" s="38"/>
      <c r="Y54" s="38"/>
    </row>
    <row r="55" spans="1:25" outlineLevel="2" x14ac:dyDescent="0.25">
      <c r="B55" s="13" t="s">
        <v>20</v>
      </c>
      <c r="C55" s="1" t="s">
        <v>21</v>
      </c>
      <c r="E55" s="37"/>
      <c r="F55" s="37"/>
      <c r="G55" s="37"/>
      <c r="H55" s="37"/>
      <c r="I55" s="39">
        <v>0</v>
      </c>
      <c r="J55" s="37"/>
      <c r="K55" s="37"/>
      <c r="L55" s="37"/>
      <c r="M55" s="37">
        <f t="shared" si="28"/>
        <v>0</v>
      </c>
      <c r="N55" s="37"/>
      <c r="O55" s="37"/>
      <c r="P55" s="37"/>
      <c r="Q55" s="37"/>
      <c r="R55" s="37">
        <f t="shared" si="29"/>
        <v>0</v>
      </c>
      <c r="S55" s="37"/>
      <c r="T55" s="37"/>
      <c r="U55" s="37"/>
      <c r="V55" s="37"/>
      <c r="W55" s="37">
        <f t="shared" si="30"/>
        <v>0</v>
      </c>
      <c r="X55" s="38"/>
      <c r="Y55" s="38"/>
    </row>
    <row r="56" spans="1:25" outlineLevel="2" x14ac:dyDescent="0.25">
      <c r="A56" s="20"/>
      <c r="B56" s="13"/>
      <c r="E56" s="37"/>
      <c r="F56" s="37"/>
      <c r="G56" s="37"/>
      <c r="H56" s="37"/>
      <c r="I56" s="39">
        <v>0</v>
      </c>
      <c r="J56" s="37"/>
      <c r="K56" s="37"/>
      <c r="L56" s="37"/>
      <c r="M56" s="37">
        <f t="shared" si="28"/>
        <v>0</v>
      </c>
      <c r="N56" s="37"/>
      <c r="O56" s="37"/>
      <c r="P56" s="37"/>
      <c r="Q56" s="37"/>
      <c r="R56" s="37">
        <f t="shared" si="29"/>
        <v>0</v>
      </c>
      <c r="S56" s="37"/>
      <c r="T56" s="37"/>
      <c r="U56" s="37"/>
      <c r="V56" s="37"/>
      <c r="W56" s="37">
        <f t="shared" si="30"/>
        <v>0</v>
      </c>
      <c r="X56" s="38"/>
      <c r="Y56" s="38"/>
    </row>
    <row r="57" spans="1:25" s="24" customFormat="1" outlineLevel="1" x14ac:dyDescent="0.25">
      <c r="A57" s="21">
        <f>+A52+1</f>
        <v>5</v>
      </c>
      <c r="B57" s="23" t="s">
        <v>11</v>
      </c>
      <c r="E57" s="39">
        <f t="shared" ref="E57:R57" si="31">+SUM(E59:E60)</f>
        <v>0</v>
      </c>
      <c r="F57" s="39">
        <f t="shared" si="31"/>
        <v>0</v>
      </c>
      <c r="G57" s="39">
        <f t="shared" si="31"/>
        <v>0</v>
      </c>
      <c r="H57" s="39">
        <f t="shared" si="31"/>
        <v>0</v>
      </c>
      <c r="I57" s="39">
        <v>0</v>
      </c>
      <c r="J57" s="39">
        <f t="shared" si="31"/>
        <v>0</v>
      </c>
      <c r="K57" s="39">
        <f t="shared" si="31"/>
        <v>0</v>
      </c>
      <c r="L57" s="39">
        <f t="shared" si="31"/>
        <v>0</v>
      </c>
      <c r="M57" s="39">
        <f t="shared" ref="M57" si="32">+SUM(M59:M60)</f>
        <v>0</v>
      </c>
      <c r="N57" s="39">
        <f t="shared" si="31"/>
        <v>0</v>
      </c>
      <c r="O57" s="39">
        <f t="shared" si="31"/>
        <v>0</v>
      </c>
      <c r="P57" s="39">
        <f t="shared" si="31"/>
        <v>0</v>
      </c>
      <c r="Q57" s="39">
        <f t="shared" si="31"/>
        <v>0</v>
      </c>
      <c r="R57" s="39">
        <f t="shared" si="31"/>
        <v>0</v>
      </c>
      <c r="S57" s="39">
        <f t="shared" ref="S57:W57" si="33">+SUM(S59:S60)</f>
        <v>0</v>
      </c>
      <c r="T57" s="39">
        <f t="shared" si="33"/>
        <v>0</v>
      </c>
      <c r="U57" s="39">
        <f t="shared" si="33"/>
        <v>0</v>
      </c>
      <c r="V57" s="39">
        <f t="shared" si="33"/>
        <v>0</v>
      </c>
      <c r="W57" s="39">
        <f t="shared" si="33"/>
        <v>0</v>
      </c>
      <c r="X57" s="40"/>
      <c r="Y57" s="40"/>
    </row>
    <row r="58" spans="1:25" outlineLevel="2" x14ac:dyDescent="0.25">
      <c r="A58" s="20"/>
      <c r="B58" s="14"/>
      <c r="E58" s="37"/>
      <c r="F58" s="37"/>
      <c r="G58" s="37"/>
      <c r="H58" s="37"/>
      <c r="I58" s="39">
        <v>0</v>
      </c>
      <c r="J58" s="37"/>
      <c r="K58" s="37"/>
      <c r="L58" s="37"/>
      <c r="M58" s="37">
        <f t="shared" ref="M58:M61" si="34">+SUM(I58:L58)</f>
        <v>0</v>
      </c>
      <c r="N58" s="37"/>
      <c r="O58" s="37"/>
      <c r="P58" s="37"/>
      <c r="Q58" s="37"/>
      <c r="R58" s="37">
        <f t="shared" ref="R58:R61" si="35">+SUM(N58:Q58)</f>
        <v>0</v>
      </c>
      <c r="S58" s="37"/>
      <c r="T58" s="37"/>
      <c r="U58" s="37"/>
      <c r="V58" s="37"/>
      <c r="W58" s="37">
        <f t="shared" ref="W58:W61" si="36">+SUM(S58:V58)</f>
        <v>0</v>
      </c>
      <c r="X58" s="38"/>
      <c r="Y58" s="38"/>
    </row>
    <row r="59" spans="1:25" outlineLevel="2" x14ac:dyDescent="0.25">
      <c r="B59" s="13" t="s">
        <v>20</v>
      </c>
      <c r="E59" s="37"/>
      <c r="F59" s="37"/>
      <c r="G59" s="37"/>
      <c r="H59" s="37"/>
      <c r="I59" s="39">
        <v>0</v>
      </c>
      <c r="J59" s="37"/>
      <c r="K59" s="37"/>
      <c r="L59" s="37"/>
      <c r="M59" s="37">
        <f t="shared" si="34"/>
        <v>0</v>
      </c>
      <c r="N59" s="37"/>
      <c r="O59" s="37"/>
      <c r="P59" s="37"/>
      <c r="Q59" s="37"/>
      <c r="R59" s="37">
        <f t="shared" si="35"/>
        <v>0</v>
      </c>
      <c r="S59" s="37"/>
      <c r="T59" s="37"/>
      <c r="U59" s="37"/>
      <c r="V59" s="37"/>
      <c r="W59" s="37">
        <f t="shared" si="36"/>
        <v>0</v>
      </c>
      <c r="X59" s="38"/>
      <c r="Y59" s="38"/>
    </row>
    <row r="60" spans="1:25" outlineLevel="2" x14ac:dyDescent="0.25">
      <c r="B60" s="13" t="s">
        <v>20</v>
      </c>
      <c r="C60" s="1" t="s">
        <v>21</v>
      </c>
      <c r="E60" s="37"/>
      <c r="F60" s="37"/>
      <c r="G60" s="37"/>
      <c r="H60" s="37"/>
      <c r="I60" s="39">
        <v>0</v>
      </c>
      <c r="J60" s="37"/>
      <c r="K60" s="37"/>
      <c r="L60" s="37"/>
      <c r="M60" s="37">
        <f t="shared" si="34"/>
        <v>0</v>
      </c>
      <c r="N60" s="37"/>
      <c r="O60" s="37"/>
      <c r="P60" s="37"/>
      <c r="Q60" s="37"/>
      <c r="R60" s="37">
        <f t="shared" si="35"/>
        <v>0</v>
      </c>
      <c r="S60" s="37"/>
      <c r="T60" s="37"/>
      <c r="U60" s="37"/>
      <c r="V60" s="37"/>
      <c r="W60" s="37">
        <f t="shared" si="36"/>
        <v>0</v>
      </c>
      <c r="X60" s="38"/>
      <c r="Y60" s="38"/>
    </row>
    <row r="61" spans="1:25" outlineLevel="2" x14ac:dyDescent="0.25">
      <c r="A61" s="20"/>
      <c r="B61" s="14"/>
      <c r="E61" s="37"/>
      <c r="F61" s="37"/>
      <c r="G61" s="37"/>
      <c r="H61" s="37"/>
      <c r="I61" s="39">
        <v>0</v>
      </c>
      <c r="J61" s="37"/>
      <c r="K61" s="37"/>
      <c r="L61" s="37"/>
      <c r="M61" s="37">
        <f t="shared" si="34"/>
        <v>0</v>
      </c>
      <c r="N61" s="37"/>
      <c r="O61" s="37"/>
      <c r="P61" s="37"/>
      <c r="Q61" s="37"/>
      <c r="R61" s="37">
        <f t="shared" si="35"/>
        <v>0</v>
      </c>
      <c r="S61" s="37"/>
      <c r="T61" s="37"/>
      <c r="U61" s="37"/>
      <c r="V61" s="37"/>
      <c r="W61" s="37">
        <f t="shared" si="36"/>
        <v>0</v>
      </c>
      <c r="X61" s="38"/>
      <c r="Y61" s="38"/>
    </row>
    <row r="62" spans="1:25" s="24" customFormat="1" outlineLevel="1" x14ac:dyDescent="0.25">
      <c r="A62" s="21">
        <f>+A57+1</f>
        <v>6</v>
      </c>
      <c r="B62" s="23" t="s">
        <v>12</v>
      </c>
      <c r="E62" s="39">
        <f t="shared" ref="E62:R62" si="37">+SUM(E64:E65)</f>
        <v>0</v>
      </c>
      <c r="F62" s="39">
        <f t="shared" si="37"/>
        <v>0</v>
      </c>
      <c r="G62" s="39">
        <f t="shared" si="37"/>
        <v>0</v>
      </c>
      <c r="H62" s="39">
        <f t="shared" si="37"/>
        <v>0</v>
      </c>
      <c r="I62" s="39">
        <v>0</v>
      </c>
      <c r="J62" s="39">
        <f t="shared" si="37"/>
        <v>0</v>
      </c>
      <c r="K62" s="39">
        <f t="shared" si="37"/>
        <v>0</v>
      </c>
      <c r="L62" s="39">
        <f t="shared" si="37"/>
        <v>0</v>
      </c>
      <c r="M62" s="39">
        <f t="shared" ref="M62" si="38">+SUM(M64:M65)</f>
        <v>0</v>
      </c>
      <c r="N62" s="39">
        <f t="shared" si="37"/>
        <v>0</v>
      </c>
      <c r="O62" s="39">
        <f t="shared" si="37"/>
        <v>0</v>
      </c>
      <c r="P62" s="39">
        <f t="shared" si="37"/>
        <v>0</v>
      </c>
      <c r="Q62" s="39">
        <f t="shared" si="37"/>
        <v>0</v>
      </c>
      <c r="R62" s="39">
        <f t="shared" si="37"/>
        <v>0</v>
      </c>
      <c r="S62" s="39">
        <f t="shared" ref="S62:W62" si="39">+SUM(S64:S65)</f>
        <v>0</v>
      </c>
      <c r="T62" s="39">
        <f t="shared" si="39"/>
        <v>0</v>
      </c>
      <c r="U62" s="39">
        <f t="shared" si="39"/>
        <v>0</v>
      </c>
      <c r="V62" s="39">
        <f t="shared" si="39"/>
        <v>0</v>
      </c>
      <c r="W62" s="39">
        <f t="shared" si="39"/>
        <v>0</v>
      </c>
      <c r="X62" s="40"/>
      <c r="Y62" s="40"/>
    </row>
    <row r="63" spans="1:25" outlineLevel="2" x14ac:dyDescent="0.25">
      <c r="A63" s="20"/>
      <c r="B63" s="14"/>
      <c r="E63" s="37"/>
      <c r="F63" s="37"/>
      <c r="G63" s="37"/>
      <c r="H63" s="37"/>
      <c r="I63" s="39">
        <v>0</v>
      </c>
      <c r="J63" s="37"/>
      <c r="K63" s="37"/>
      <c r="L63" s="37"/>
      <c r="M63" s="37">
        <f t="shared" ref="M63:M66" si="40">+SUM(I63:L63)</f>
        <v>0</v>
      </c>
      <c r="N63" s="37"/>
      <c r="O63" s="37"/>
      <c r="P63" s="37"/>
      <c r="Q63" s="37"/>
      <c r="R63" s="37">
        <f t="shared" ref="R63:R66" si="41">+SUM(N63:Q63)</f>
        <v>0</v>
      </c>
      <c r="S63" s="39">
        <f t="shared" ref="S63:V63" si="42">+SUM(S65:S66)</f>
        <v>0</v>
      </c>
      <c r="T63" s="39">
        <f t="shared" si="42"/>
        <v>0</v>
      </c>
      <c r="U63" s="39">
        <f t="shared" si="42"/>
        <v>0</v>
      </c>
      <c r="V63" s="39">
        <f t="shared" si="42"/>
        <v>0</v>
      </c>
      <c r="W63" s="37">
        <f t="shared" ref="W63:W66" si="43">+SUM(S63:V63)</f>
        <v>0</v>
      </c>
      <c r="X63" s="38"/>
      <c r="Y63" s="38"/>
    </row>
    <row r="64" spans="1:25" outlineLevel="2" x14ac:dyDescent="0.25">
      <c r="B64" s="13" t="s">
        <v>20</v>
      </c>
      <c r="E64" s="37"/>
      <c r="F64" s="37"/>
      <c r="G64" s="37"/>
      <c r="H64" s="37"/>
      <c r="I64" s="39">
        <v>0</v>
      </c>
      <c r="J64" s="37"/>
      <c r="K64" s="37"/>
      <c r="L64" s="37"/>
      <c r="M64" s="37">
        <f t="shared" si="40"/>
        <v>0</v>
      </c>
      <c r="N64" s="37"/>
      <c r="O64" s="37"/>
      <c r="P64" s="37"/>
      <c r="Q64" s="37"/>
      <c r="R64" s="37">
        <f t="shared" si="41"/>
        <v>0</v>
      </c>
      <c r="S64" s="39">
        <f t="shared" ref="S64:V64" si="44">+SUM(S66:S67)</f>
        <v>0</v>
      </c>
      <c r="T64" s="39">
        <f t="shared" si="44"/>
        <v>0</v>
      </c>
      <c r="U64" s="39">
        <f t="shared" si="44"/>
        <v>0</v>
      </c>
      <c r="V64" s="39">
        <f t="shared" si="44"/>
        <v>0</v>
      </c>
      <c r="W64" s="37">
        <f t="shared" si="43"/>
        <v>0</v>
      </c>
      <c r="X64" s="38"/>
      <c r="Y64" s="38"/>
    </row>
    <row r="65" spans="1:25" outlineLevel="2" x14ac:dyDescent="0.25">
      <c r="B65" s="13" t="s">
        <v>20</v>
      </c>
      <c r="C65" s="1" t="s">
        <v>21</v>
      </c>
      <c r="E65" s="37"/>
      <c r="F65" s="37"/>
      <c r="G65" s="37"/>
      <c r="H65" s="37"/>
      <c r="I65" s="39">
        <v>0</v>
      </c>
      <c r="J65" s="37"/>
      <c r="K65" s="37"/>
      <c r="L65" s="37"/>
      <c r="M65" s="37">
        <f t="shared" si="40"/>
        <v>0</v>
      </c>
      <c r="N65" s="37"/>
      <c r="O65" s="37"/>
      <c r="P65" s="37"/>
      <c r="Q65" s="37"/>
      <c r="R65" s="37">
        <f t="shared" si="41"/>
        <v>0</v>
      </c>
      <c r="S65" s="39">
        <f t="shared" ref="S65:V65" si="45">+SUM(S67:S68)</f>
        <v>0</v>
      </c>
      <c r="T65" s="39">
        <f t="shared" si="45"/>
        <v>0</v>
      </c>
      <c r="U65" s="39">
        <f t="shared" si="45"/>
        <v>0</v>
      </c>
      <c r="V65" s="39">
        <f t="shared" si="45"/>
        <v>0</v>
      </c>
      <c r="W65" s="37">
        <f t="shared" si="43"/>
        <v>0</v>
      </c>
      <c r="X65" s="38"/>
      <c r="Y65" s="38"/>
    </row>
    <row r="66" spans="1:25" outlineLevel="2" x14ac:dyDescent="0.25">
      <c r="A66" s="20"/>
      <c r="B66" s="14"/>
      <c r="E66" s="37"/>
      <c r="F66" s="37"/>
      <c r="G66" s="37"/>
      <c r="H66" s="37"/>
      <c r="I66" s="39">
        <v>0</v>
      </c>
      <c r="J66" s="37"/>
      <c r="K66" s="37"/>
      <c r="L66" s="37"/>
      <c r="M66" s="37">
        <f t="shared" si="40"/>
        <v>0</v>
      </c>
      <c r="N66" s="37"/>
      <c r="O66" s="37"/>
      <c r="P66" s="37"/>
      <c r="Q66" s="37"/>
      <c r="R66" s="37">
        <f t="shared" si="41"/>
        <v>0</v>
      </c>
      <c r="S66" s="39">
        <f t="shared" ref="S66:V66" si="46">+SUM(S68:S69)</f>
        <v>0</v>
      </c>
      <c r="T66" s="39">
        <f t="shared" si="46"/>
        <v>0</v>
      </c>
      <c r="U66" s="39">
        <f t="shared" si="46"/>
        <v>0</v>
      </c>
      <c r="V66" s="39">
        <f t="shared" si="46"/>
        <v>0</v>
      </c>
      <c r="W66" s="37">
        <f t="shared" si="43"/>
        <v>0</v>
      </c>
      <c r="X66" s="38"/>
      <c r="Y66" s="38"/>
    </row>
    <row r="67" spans="1:25" s="24" customFormat="1" outlineLevel="1" x14ac:dyDescent="0.25">
      <c r="A67" s="21">
        <f>+A62+1</f>
        <v>7</v>
      </c>
      <c r="B67" s="58" t="s">
        <v>13</v>
      </c>
      <c r="E67" s="39">
        <f t="shared" ref="E67:V67" si="47">+SUM(E69:E70)</f>
        <v>0</v>
      </c>
      <c r="F67" s="39">
        <f t="shared" si="47"/>
        <v>0</v>
      </c>
      <c r="G67" s="39">
        <f t="shared" si="47"/>
        <v>0</v>
      </c>
      <c r="H67" s="39">
        <f t="shared" si="47"/>
        <v>0</v>
      </c>
      <c r="I67" s="39">
        <v>0</v>
      </c>
      <c r="J67" s="39">
        <f t="shared" si="47"/>
        <v>0</v>
      </c>
      <c r="K67" s="39">
        <f t="shared" si="47"/>
        <v>0</v>
      </c>
      <c r="L67" s="39">
        <f t="shared" si="47"/>
        <v>0</v>
      </c>
      <c r="M67" s="39">
        <f t="shared" ref="M67" si="48">+SUM(M69:M70)</f>
        <v>0</v>
      </c>
      <c r="N67" s="39">
        <f t="shared" si="47"/>
        <v>0</v>
      </c>
      <c r="O67" s="39">
        <f t="shared" si="47"/>
        <v>0</v>
      </c>
      <c r="P67" s="39">
        <f t="shared" si="47"/>
        <v>0</v>
      </c>
      <c r="Q67" s="39">
        <f t="shared" si="47"/>
        <v>0</v>
      </c>
      <c r="R67" s="39">
        <f t="shared" si="47"/>
        <v>0</v>
      </c>
      <c r="S67" s="39">
        <f t="shared" si="47"/>
        <v>0</v>
      </c>
      <c r="T67" s="39">
        <f t="shared" si="47"/>
        <v>0</v>
      </c>
      <c r="U67" s="39">
        <f t="shared" si="47"/>
        <v>0</v>
      </c>
      <c r="V67" s="39">
        <f t="shared" si="47"/>
        <v>0</v>
      </c>
      <c r="W67" s="39">
        <f t="shared" ref="W67" si="49">+SUM(W69:W70)</f>
        <v>0</v>
      </c>
      <c r="X67" s="40"/>
      <c r="Y67" s="40"/>
    </row>
    <row r="68" spans="1:25" outlineLevel="2" x14ac:dyDescent="0.25">
      <c r="A68" s="20"/>
      <c r="B68" s="59"/>
      <c r="E68" s="39">
        <f t="shared" ref="E68:F68" si="50">+SUM(E70:E71)</f>
        <v>0</v>
      </c>
      <c r="F68" s="39">
        <f t="shared" si="50"/>
        <v>0</v>
      </c>
      <c r="G68" s="37"/>
      <c r="H68" s="37"/>
      <c r="I68" s="39">
        <v>0</v>
      </c>
      <c r="J68" s="37"/>
      <c r="K68" s="37"/>
      <c r="L68" s="37"/>
      <c r="M68" s="37">
        <f t="shared" ref="M68:M72" si="51">+SUM(I68:L68)</f>
        <v>0</v>
      </c>
      <c r="N68" s="37"/>
      <c r="O68" s="37"/>
      <c r="P68" s="37"/>
      <c r="Q68" s="37"/>
      <c r="R68" s="37">
        <f t="shared" ref="R68:R72" si="52">+SUM(N68:Q68)</f>
        <v>0</v>
      </c>
      <c r="S68" s="39">
        <f t="shared" ref="S68:V68" si="53">+SUM(S70:S71)</f>
        <v>0</v>
      </c>
      <c r="T68" s="39">
        <f t="shared" si="53"/>
        <v>0</v>
      </c>
      <c r="U68" s="39">
        <f t="shared" si="53"/>
        <v>0</v>
      </c>
      <c r="V68" s="39">
        <f t="shared" si="53"/>
        <v>0</v>
      </c>
      <c r="W68" s="37">
        <f t="shared" ref="W68:W72" si="54">+SUM(S68:V68)</f>
        <v>0</v>
      </c>
      <c r="X68" s="38"/>
      <c r="Y68" s="38"/>
    </row>
    <row r="69" spans="1:25" outlineLevel="2" x14ac:dyDescent="0.25">
      <c r="B69" s="59" t="s">
        <v>20</v>
      </c>
      <c r="E69" s="39">
        <f t="shared" ref="E69:F69" si="55">+SUM(E71:E72)</f>
        <v>0</v>
      </c>
      <c r="F69" s="39">
        <f t="shared" si="55"/>
        <v>0</v>
      </c>
      <c r="G69" s="37"/>
      <c r="H69" s="37"/>
      <c r="I69" s="39">
        <v>0</v>
      </c>
      <c r="J69" s="37"/>
      <c r="K69" s="37"/>
      <c r="L69" s="37"/>
      <c r="M69" s="37">
        <f t="shared" si="51"/>
        <v>0</v>
      </c>
      <c r="N69" s="37"/>
      <c r="O69" s="37"/>
      <c r="P69" s="37"/>
      <c r="Q69" s="37"/>
      <c r="R69" s="37">
        <f t="shared" si="52"/>
        <v>0</v>
      </c>
      <c r="S69" s="39">
        <f t="shared" ref="S69:V69" si="56">+SUM(S71:S72)</f>
        <v>0</v>
      </c>
      <c r="T69" s="39">
        <f t="shared" si="56"/>
        <v>0</v>
      </c>
      <c r="U69" s="39">
        <f t="shared" si="56"/>
        <v>0</v>
      </c>
      <c r="V69" s="39">
        <f t="shared" si="56"/>
        <v>0</v>
      </c>
      <c r="W69" s="37">
        <f t="shared" si="54"/>
        <v>0</v>
      </c>
      <c r="X69" s="38"/>
      <c r="Y69" s="38"/>
    </row>
    <row r="70" spans="1:25" outlineLevel="2" x14ac:dyDescent="0.25">
      <c r="B70" s="59" t="s">
        <v>20</v>
      </c>
      <c r="C70" s="1" t="s">
        <v>21</v>
      </c>
      <c r="E70" s="39">
        <f t="shared" ref="E70:F70" si="57">+SUM(E72:E73)</f>
        <v>0</v>
      </c>
      <c r="F70" s="39">
        <f t="shared" si="57"/>
        <v>0</v>
      </c>
      <c r="G70" s="37"/>
      <c r="H70" s="37"/>
      <c r="I70" s="39">
        <v>0</v>
      </c>
      <c r="J70" s="37"/>
      <c r="K70" s="37"/>
      <c r="L70" s="37"/>
      <c r="M70" s="37">
        <v>0</v>
      </c>
      <c r="N70" s="37"/>
      <c r="O70" s="37"/>
      <c r="P70" s="37"/>
      <c r="Q70" s="37"/>
      <c r="R70" s="37">
        <v>0</v>
      </c>
      <c r="S70" s="39">
        <f t="shared" ref="S70:V70" si="58">+SUM(S72:S73)</f>
        <v>0</v>
      </c>
      <c r="T70" s="39">
        <f t="shared" si="58"/>
        <v>0</v>
      </c>
      <c r="U70" s="39">
        <f t="shared" si="58"/>
        <v>0</v>
      </c>
      <c r="V70" s="39">
        <f t="shared" si="58"/>
        <v>0</v>
      </c>
      <c r="W70" s="37">
        <v>0</v>
      </c>
      <c r="X70" s="38"/>
      <c r="Y70" s="38"/>
    </row>
    <row r="71" spans="1:25" outlineLevel="2" x14ac:dyDescent="0.25">
      <c r="A71" s="20"/>
      <c r="B71" s="59"/>
      <c r="E71" s="39">
        <f t="shared" ref="E71:F71" si="59">+SUM(E73:E74)</f>
        <v>0</v>
      </c>
      <c r="F71" s="39">
        <f t="shared" si="59"/>
        <v>0</v>
      </c>
      <c r="G71" s="37"/>
      <c r="H71" s="37"/>
      <c r="I71" s="39">
        <v>0</v>
      </c>
      <c r="J71" s="37"/>
      <c r="K71" s="37"/>
      <c r="L71" s="37"/>
      <c r="M71" s="37">
        <f t="shared" si="51"/>
        <v>0</v>
      </c>
      <c r="N71" s="37"/>
      <c r="O71" s="37"/>
      <c r="P71" s="37"/>
      <c r="Q71" s="37"/>
      <c r="R71" s="37">
        <f t="shared" si="52"/>
        <v>0</v>
      </c>
      <c r="S71" s="39">
        <f t="shared" ref="S71:V71" si="60">+SUM(S73:S74)</f>
        <v>0</v>
      </c>
      <c r="T71" s="39">
        <f t="shared" si="60"/>
        <v>0</v>
      </c>
      <c r="U71" s="39">
        <f t="shared" si="60"/>
        <v>0</v>
      </c>
      <c r="V71" s="39">
        <f t="shared" si="60"/>
        <v>0</v>
      </c>
      <c r="W71" s="37">
        <f t="shared" si="54"/>
        <v>0</v>
      </c>
      <c r="X71" s="38"/>
      <c r="Y71" s="38"/>
    </row>
    <row r="72" spans="1:25" s="24" customFormat="1" ht="17.399999999999999" customHeight="1" outlineLevel="1" x14ac:dyDescent="0.25">
      <c r="A72" s="21">
        <f>+A67+1</f>
        <v>8</v>
      </c>
      <c r="B72" s="58" t="s">
        <v>86</v>
      </c>
      <c r="E72" s="39">
        <f t="shared" ref="E72:F72" si="61">+SUM(E74:E75)</f>
        <v>0</v>
      </c>
      <c r="F72" s="39">
        <f t="shared" si="61"/>
        <v>0</v>
      </c>
      <c r="G72" s="39">
        <v>457728.2</v>
      </c>
      <c r="H72" s="39">
        <v>508875.7</v>
      </c>
      <c r="I72" s="39">
        <f>(6602013.08-966603.9)*0.4/4</f>
        <v>563540.91799999995</v>
      </c>
      <c r="J72" s="39">
        <f t="shared" ref="J72:L72" si="62">(6602013.08-966603.9)*0.4/4</f>
        <v>563540.91799999995</v>
      </c>
      <c r="K72" s="39">
        <f t="shared" si="62"/>
        <v>563540.91799999995</v>
      </c>
      <c r="L72" s="39">
        <f t="shared" si="62"/>
        <v>563540.91799999995</v>
      </c>
      <c r="M72" s="39">
        <f t="shared" si="51"/>
        <v>2254163.6719999998</v>
      </c>
      <c r="N72" s="39">
        <f>(6602013.08-966603.9)*0.6/4</f>
        <v>845311.37699999998</v>
      </c>
      <c r="O72" s="39">
        <f t="shared" ref="O72:Q72" si="63">(6602013.08-966603.9)*0.6/4</f>
        <v>845311.37699999998</v>
      </c>
      <c r="P72" s="39">
        <f t="shared" si="63"/>
        <v>845311.37699999998</v>
      </c>
      <c r="Q72" s="39">
        <f t="shared" si="63"/>
        <v>845311.37699999998</v>
      </c>
      <c r="R72" s="39">
        <f t="shared" si="52"/>
        <v>3381245.5079999999</v>
      </c>
      <c r="S72" s="39">
        <f t="shared" ref="S72:V72" si="64">+SUM(S74:S75)</f>
        <v>0</v>
      </c>
      <c r="T72" s="39">
        <f t="shared" si="64"/>
        <v>0</v>
      </c>
      <c r="U72" s="39">
        <f t="shared" si="64"/>
        <v>0</v>
      </c>
      <c r="V72" s="39">
        <f t="shared" si="64"/>
        <v>0</v>
      </c>
      <c r="W72" s="39">
        <f t="shared" si="54"/>
        <v>0</v>
      </c>
      <c r="X72" s="40"/>
      <c r="Y72" s="40"/>
    </row>
    <row r="73" spans="1:25" s="24" customFormat="1" outlineLevel="1" x14ac:dyDescent="0.25">
      <c r="A73" s="21">
        <v>9</v>
      </c>
      <c r="B73" s="58" t="s">
        <v>14</v>
      </c>
      <c r="E73" s="39">
        <f t="shared" ref="E73:R73" si="65">+SUM(E75:E76)</f>
        <v>0</v>
      </c>
      <c r="F73" s="39">
        <f t="shared" si="65"/>
        <v>0</v>
      </c>
      <c r="G73" s="39">
        <f t="shared" si="65"/>
        <v>0</v>
      </c>
      <c r="H73" s="39">
        <f t="shared" si="65"/>
        <v>0</v>
      </c>
      <c r="I73" s="39">
        <f t="shared" si="65"/>
        <v>0</v>
      </c>
      <c r="J73" s="39">
        <f t="shared" si="65"/>
        <v>0</v>
      </c>
      <c r="K73" s="39">
        <f t="shared" si="65"/>
        <v>0</v>
      </c>
      <c r="L73" s="39">
        <f t="shared" si="65"/>
        <v>0</v>
      </c>
      <c r="M73" s="39">
        <f t="shared" ref="M73" si="66">+SUM(M75:M76)</f>
        <v>0</v>
      </c>
      <c r="N73" s="39">
        <f t="shared" si="65"/>
        <v>0</v>
      </c>
      <c r="O73" s="39">
        <f t="shared" si="65"/>
        <v>0</v>
      </c>
      <c r="P73" s="39">
        <f t="shared" si="65"/>
        <v>0</v>
      </c>
      <c r="Q73" s="39">
        <f t="shared" si="65"/>
        <v>0</v>
      </c>
      <c r="R73" s="39">
        <f t="shared" si="65"/>
        <v>0</v>
      </c>
      <c r="S73" s="39">
        <f t="shared" ref="S73:V73" si="67">+SUM(S75:S76)</f>
        <v>0</v>
      </c>
      <c r="T73" s="39">
        <f t="shared" si="67"/>
        <v>0</v>
      </c>
      <c r="U73" s="39">
        <f t="shared" si="67"/>
        <v>0</v>
      </c>
      <c r="V73" s="39">
        <f t="shared" si="67"/>
        <v>0</v>
      </c>
      <c r="W73" s="39">
        <f t="shared" ref="W73" si="68">+SUM(W75:W76)</f>
        <v>0</v>
      </c>
      <c r="X73" s="40"/>
      <c r="Y73" s="40"/>
    </row>
    <row r="74" spans="1:25" outlineLevel="2" x14ac:dyDescent="0.25">
      <c r="A74" s="20"/>
      <c r="B74" s="1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9">
        <f t="shared" ref="S74:V74" si="69">+SUM(S76:S77)</f>
        <v>0</v>
      </c>
      <c r="T74" s="39">
        <f t="shared" si="69"/>
        <v>0</v>
      </c>
      <c r="U74" s="39">
        <f t="shared" si="69"/>
        <v>0</v>
      </c>
      <c r="V74" s="39">
        <f t="shared" si="69"/>
        <v>0</v>
      </c>
      <c r="W74" s="37"/>
      <c r="X74" s="38"/>
      <c r="Y74" s="38"/>
    </row>
    <row r="75" spans="1:25" ht="21" customHeight="1" outlineLevel="2" x14ac:dyDescent="0.25">
      <c r="B75" s="45" t="s">
        <v>63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9">
        <f t="shared" ref="S75:V75" si="70">+SUM(S77:S78)</f>
        <v>0</v>
      </c>
      <c r="T75" s="39">
        <f t="shared" si="70"/>
        <v>0</v>
      </c>
      <c r="U75" s="39">
        <f t="shared" si="70"/>
        <v>0</v>
      </c>
      <c r="V75" s="39">
        <f t="shared" si="70"/>
        <v>0</v>
      </c>
      <c r="W75" s="37">
        <v>0</v>
      </c>
      <c r="X75" s="38"/>
      <c r="Y75" s="38"/>
    </row>
    <row r="76" spans="1:25" outlineLevel="2" x14ac:dyDescent="0.25">
      <c r="B76" s="13" t="s">
        <v>20</v>
      </c>
      <c r="C76" s="1" t="s">
        <v>21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9">
        <f t="shared" ref="S76:V76" si="71">+SUM(S78:S79)</f>
        <v>0</v>
      </c>
      <c r="T76" s="39">
        <f t="shared" si="71"/>
        <v>0</v>
      </c>
      <c r="U76" s="39">
        <f t="shared" si="71"/>
        <v>0</v>
      </c>
      <c r="V76" s="39">
        <f t="shared" si="71"/>
        <v>0</v>
      </c>
      <c r="W76" s="37"/>
      <c r="X76" s="38"/>
      <c r="Y76" s="38"/>
    </row>
    <row r="77" spans="1:25" outlineLevel="2" x14ac:dyDescent="0.25">
      <c r="A77" s="20"/>
      <c r="B77" s="14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9">
        <f t="shared" ref="S77:V77" si="72">+SUM(S79:S80)</f>
        <v>0</v>
      </c>
      <c r="T77" s="39">
        <f t="shared" si="72"/>
        <v>0</v>
      </c>
      <c r="U77" s="39">
        <f t="shared" si="72"/>
        <v>0</v>
      </c>
      <c r="V77" s="39">
        <f t="shared" si="72"/>
        <v>0</v>
      </c>
      <c r="W77" s="37"/>
      <c r="X77" s="38"/>
      <c r="Y77" s="38"/>
    </row>
    <row r="78" spans="1:25" s="24" customFormat="1" outlineLevel="1" x14ac:dyDescent="0.25">
      <c r="A78" s="21">
        <f>+A73+1</f>
        <v>10</v>
      </c>
      <c r="B78" s="23" t="s">
        <v>15</v>
      </c>
      <c r="E78" s="39">
        <f t="shared" ref="E78:V78" si="73">+SUM(E80:E81)</f>
        <v>0</v>
      </c>
      <c r="F78" s="39">
        <f t="shared" si="73"/>
        <v>0</v>
      </c>
      <c r="G78" s="39">
        <f t="shared" si="73"/>
        <v>0</v>
      </c>
      <c r="H78" s="39">
        <f t="shared" si="73"/>
        <v>0</v>
      </c>
      <c r="I78" s="39">
        <f t="shared" si="73"/>
        <v>0</v>
      </c>
      <c r="J78" s="39">
        <f t="shared" si="73"/>
        <v>0</v>
      </c>
      <c r="K78" s="39">
        <f t="shared" si="73"/>
        <v>0</v>
      </c>
      <c r="L78" s="39">
        <f t="shared" si="73"/>
        <v>0</v>
      </c>
      <c r="M78" s="39">
        <f t="shared" ref="M78" si="74">+SUM(M80:M81)</f>
        <v>0</v>
      </c>
      <c r="N78" s="39">
        <f t="shared" si="73"/>
        <v>0</v>
      </c>
      <c r="O78" s="39">
        <f t="shared" si="73"/>
        <v>0</v>
      </c>
      <c r="P78" s="39">
        <f t="shared" si="73"/>
        <v>0</v>
      </c>
      <c r="Q78" s="39">
        <f t="shared" si="73"/>
        <v>0</v>
      </c>
      <c r="R78" s="39">
        <f t="shared" si="73"/>
        <v>0</v>
      </c>
      <c r="S78" s="39">
        <f t="shared" si="73"/>
        <v>0</v>
      </c>
      <c r="T78" s="39">
        <f t="shared" si="73"/>
        <v>0</v>
      </c>
      <c r="U78" s="39">
        <f t="shared" si="73"/>
        <v>0</v>
      </c>
      <c r="V78" s="39">
        <f t="shared" si="73"/>
        <v>0</v>
      </c>
      <c r="W78" s="39">
        <f t="shared" ref="W78" si="75">+SUM(W80:W81)</f>
        <v>0</v>
      </c>
      <c r="X78" s="40"/>
      <c r="Y78" s="40"/>
    </row>
    <row r="79" spans="1:25" outlineLevel="2" x14ac:dyDescent="0.25">
      <c r="A79" s="20"/>
      <c r="B79" s="14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9">
        <f t="shared" ref="S79:V79" si="76">+SUM(S81:S82)</f>
        <v>0</v>
      </c>
      <c r="T79" s="39">
        <f t="shared" si="76"/>
        <v>0</v>
      </c>
      <c r="U79" s="39">
        <f t="shared" si="76"/>
        <v>0</v>
      </c>
      <c r="V79" s="39">
        <f t="shared" si="76"/>
        <v>0</v>
      </c>
      <c r="W79" s="37"/>
      <c r="X79" s="38"/>
      <c r="Y79" s="38"/>
    </row>
    <row r="80" spans="1:25" outlineLevel="2" x14ac:dyDescent="0.25">
      <c r="B80" s="13" t="s">
        <v>20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9">
        <f t="shared" ref="S80:V80" si="77">+SUM(S82:S83)</f>
        <v>0</v>
      </c>
      <c r="T80" s="39">
        <f t="shared" si="77"/>
        <v>0</v>
      </c>
      <c r="U80" s="39">
        <f t="shared" si="77"/>
        <v>0</v>
      </c>
      <c r="V80" s="39">
        <f t="shared" si="77"/>
        <v>0</v>
      </c>
      <c r="W80" s="37"/>
      <c r="X80" s="38"/>
      <c r="Y80" s="38"/>
    </row>
    <row r="81" spans="1:25" outlineLevel="2" x14ac:dyDescent="0.25">
      <c r="B81" s="13" t="s">
        <v>20</v>
      </c>
      <c r="C81" s="1" t="s">
        <v>21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9">
        <f t="shared" ref="S81:V81" si="78">+SUM(S83:S84)</f>
        <v>0</v>
      </c>
      <c r="T81" s="39">
        <f t="shared" si="78"/>
        <v>0</v>
      </c>
      <c r="U81" s="39">
        <f t="shared" si="78"/>
        <v>0</v>
      </c>
      <c r="V81" s="39">
        <f t="shared" si="78"/>
        <v>0</v>
      </c>
      <c r="W81" s="37"/>
      <c r="X81" s="38"/>
      <c r="Y81" s="38"/>
    </row>
    <row r="82" spans="1:25" outlineLevel="2" x14ac:dyDescent="0.25">
      <c r="A82" s="20"/>
      <c r="B82" s="14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9">
        <f t="shared" ref="S82:V82" si="79">+SUM(S84:S85)</f>
        <v>0</v>
      </c>
      <c r="T82" s="39">
        <f t="shared" si="79"/>
        <v>0</v>
      </c>
      <c r="U82" s="39">
        <f t="shared" si="79"/>
        <v>0</v>
      </c>
      <c r="V82" s="39">
        <f t="shared" si="79"/>
        <v>0</v>
      </c>
      <c r="W82" s="37"/>
      <c r="X82" s="38"/>
      <c r="Y82" s="38"/>
    </row>
    <row r="83" spans="1:25" s="24" customFormat="1" outlineLevel="1" x14ac:dyDescent="0.25">
      <c r="A83" s="21">
        <f>+A78+1</f>
        <v>11</v>
      </c>
      <c r="B83" s="23" t="s">
        <v>16</v>
      </c>
      <c r="E83" s="39">
        <f t="shared" ref="E83:V83" si="80">+SUM(E85:E86)</f>
        <v>0</v>
      </c>
      <c r="F83" s="39">
        <f t="shared" si="80"/>
        <v>0</v>
      </c>
      <c r="G83" s="39">
        <f t="shared" si="80"/>
        <v>0</v>
      </c>
      <c r="H83" s="39">
        <f t="shared" si="80"/>
        <v>0</v>
      </c>
      <c r="I83" s="39">
        <f t="shared" si="80"/>
        <v>0</v>
      </c>
      <c r="J83" s="39">
        <f t="shared" si="80"/>
        <v>0</v>
      </c>
      <c r="K83" s="39">
        <f t="shared" si="80"/>
        <v>0</v>
      </c>
      <c r="L83" s="39">
        <f t="shared" si="80"/>
        <v>0</v>
      </c>
      <c r="M83" s="39">
        <f t="shared" ref="M83" si="81">+SUM(M85:M86)</f>
        <v>0</v>
      </c>
      <c r="N83" s="39">
        <f t="shared" si="80"/>
        <v>0</v>
      </c>
      <c r="O83" s="39">
        <f t="shared" si="80"/>
        <v>0</v>
      </c>
      <c r="P83" s="39">
        <f t="shared" si="80"/>
        <v>0</v>
      </c>
      <c r="Q83" s="39">
        <f t="shared" si="80"/>
        <v>0</v>
      </c>
      <c r="R83" s="39">
        <f t="shared" si="80"/>
        <v>0</v>
      </c>
      <c r="S83" s="39">
        <f t="shared" si="80"/>
        <v>0</v>
      </c>
      <c r="T83" s="39">
        <f t="shared" si="80"/>
        <v>0</v>
      </c>
      <c r="U83" s="39">
        <f t="shared" si="80"/>
        <v>0</v>
      </c>
      <c r="V83" s="39">
        <f t="shared" si="80"/>
        <v>0</v>
      </c>
      <c r="W83" s="39">
        <f t="shared" ref="W83" si="82">+SUM(W85:W86)</f>
        <v>0</v>
      </c>
      <c r="X83" s="40"/>
      <c r="Y83" s="40"/>
    </row>
    <row r="84" spans="1:25" outlineLevel="2" x14ac:dyDescent="0.25">
      <c r="B84" s="13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8"/>
      <c r="Y84" s="38"/>
    </row>
    <row r="85" spans="1:25" outlineLevel="2" x14ac:dyDescent="0.25">
      <c r="B85" s="13" t="s">
        <v>20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8"/>
      <c r="Y85" s="38"/>
    </row>
    <row r="86" spans="1:25" outlineLevel="2" x14ac:dyDescent="0.25">
      <c r="B86" s="13" t="s">
        <v>20</v>
      </c>
      <c r="C86" s="1" t="s">
        <v>21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8"/>
      <c r="Y86" s="38"/>
    </row>
    <row r="87" spans="1:25" outlineLevel="2" x14ac:dyDescent="0.25"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8"/>
      <c r="Y87" s="38"/>
    </row>
    <row r="88" spans="1:25" s="26" customFormat="1" x14ac:dyDescent="0.25">
      <c r="A88" s="25"/>
      <c r="B88" s="19" t="s">
        <v>17</v>
      </c>
      <c r="E88" s="41">
        <f t="shared" ref="E88:V88" si="83">+E15+E42+E47+E52+E57+E62+E67+E72+E73+E78+E83</f>
        <v>100000</v>
      </c>
      <c r="F88" s="41">
        <f t="shared" si="83"/>
        <v>110000</v>
      </c>
      <c r="G88" s="41">
        <f t="shared" si="83"/>
        <v>947728.2</v>
      </c>
      <c r="H88" s="41">
        <f t="shared" si="83"/>
        <v>708875.7</v>
      </c>
      <c r="I88" s="41">
        <f t="shared" si="83"/>
        <v>563540.91799999995</v>
      </c>
      <c r="J88" s="41">
        <f t="shared" si="83"/>
        <v>563540.91799999995</v>
      </c>
      <c r="K88" s="41">
        <f t="shared" si="83"/>
        <v>563540.91799999995</v>
      </c>
      <c r="L88" s="41">
        <f t="shared" si="83"/>
        <v>1183540.9180000001</v>
      </c>
      <c r="M88" s="41">
        <f>+M15+M42+M47+M52+M57+M62+M67+M72+M73+M78+M83</f>
        <v>2874163.6719999998</v>
      </c>
      <c r="N88" s="41">
        <f t="shared" si="83"/>
        <v>845311.37699999998</v>
      </c>
      <c r="O88" s="41">
        <f t="shared" si="83"/>
        <v>845311.37699999998</v>
      </c>
      <c r="P88" s="41">
        <f t="shared" si="83"/>
        <v>845311.37699999998</v>
      </c>
      <c r="Q88" s="41">
        <f t="shared" si="83"/>
        <v>845311.37699999998</v>
      </c>
      <c r="R88" s="41">
        <f>+R15+R42+R47+R52+R57+R62+R67+R72+R73+R78+R83</f>
        <v>3381245.5079999999</v>
      </c>
      <c r="S88" s="41">
        <f t="shared" si="83"/>
        <v>0</v>
      </c>
      <c r="T88" s="41">
        <f t="shared" si="83"/>
        <v>0</v>
      </c>
      <c r="U88" s="41">
        <f t="shared" si="83"/>
        <v>0</v>
      </c>
      <c r="V88" s="41">
        <f t="shared" si="83"/>
        <v>0</v>
      </c>
      <c r="W88" s="41">
        <f>+W15+W42+W47+W52+W57+W62+W67+W72+W73+W78+W83</f>
        <v>0</v>
      </c>
      <c r="X88" s="42"/>
      <c r="Y88" s="42"/>
    </row>
    <row r="89" spans="1:25" x14ac:dyDescent="0.25"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8"/>
      <c r="Y89" s="38"/>
    </row>
    <row r="90" spans="1:25" s="18" customFormat="1" x14ac:dyDescent="0.25">
      <c r="A90" s="1"/>
      <c r="B90" s="19" t="s">
        <v>22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6"/>
      <c r="Y90" s="36"/>
    </row>
    <row r="91" spans="1:25" outlineLevel="1" x14ac:dyDescent="0.25"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8"/>
      <c r="Y91" s="38"/>
    </row>
    <row r="92" spans="1:25" s="33" customFormat="1" outlineLevel="1" x14ac:dyDescent="0.25">
      <c r="A92" s="21">
        <v>1</v>
      </c>
      <c r="B92" s="32" t="s">
        <v>18</v>
      </c>
      <c r="E92" s="39">
        <f t="shared" ref="E92:V92" si="84">-SUM(E94:E94)</f>
        <v>0</v>
      </c>
      <c r="F92" s="39">
        <f t="shared" si="84"/>
        <v>0</v>
      </c>
      <c r="G92" s="39">
        <f t="shared" si="84"/>
        <v>0</v>
      </c>
      <c r="H92" s="39">
        <f t="shared" si="84"/>
        <v>0</v>
      </c>
      <c r="I92" s="39">
        <f t="shared" si="84"/>
        <v>0</v>
      </c>
      <c r="J92" s="39">
        <f t="shared" si="84"/>
        <v>0</v>
      </c>
      <c r="K92" s="39">
        <f t="shared" si="84"/>
        <v>0</v>
      </c>
      <c r="L92" s="39">
        <f t="shared" si="84"/>
        <v>0</v>
      </c>
      <c r="M92" s="39">
        <f t="shared" ref="M92" si="85">-SUM(M94:M94)</f>
        <v>0</v>
      </c>
      <c r="N92" s="39">
        <f t="shared" si="84"/>
        <v>0</v>
      </c>
      <c r="O92" s="39">
        <f t="shared" si="84"/>
        <v>0</v>
      </c>
      <c r="P92" s="39">
        <f t="shared" si="84"/>
        <v>0</v>
      </c>
      <c r="Q92" s="39">
        <f t="shared" si="84"/>
        <v>0</v>
      </c>
      <c r="R92" s="39">
        <f t="shared" si="84"/>
        <v>0</v>
      </c>
      <c r="S92" s="39">
        <f t="shared" si="84"/>
        <v>0</v>
      </c>
      <c r="T92" s="39">
        <f t="shared" si="84"/>
        <v>0</v>
      </c>
      <c r="U92" s="39">
        <f t="shared" si="84"/>
        <v>0</v>
      </c>
      <c r="V92" s="39">
        <f t="shared" si="84"/>
        <v>0</v>
      </c>
      <c r="W92" s="39">
        <f t="shared" ref="W92" si="86">-SUM(W94:W94)</f>
        <v>0</v>
      </c>
      <c r="X92" s="40"/>
      <c r="Y92" s="40"/>
    </row>
    <row r="93" spans="1:25" outlineLevel="2" x14ac:dyDescent="0.25"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8"/>
      <c r="Y93" s="38"/>
    </row>
    <row r="94" spans="1:25" outlineLevel="2" x14ac:dyDescent="0.25">
      <c r="B94" s="46" t="s">
        <v>81</v>
      </c>
      <c r="D94" s="27"/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f t="shared" ref="M94" si="87">+SUM(I94:L94)</f>
        <v>0</v>
      </c>
      <c r="N94" s="27">
        <v>0</v>
      </c>
      <c r="O94" s="27">
        <v>0</v>
      </c>
      <c r="P94" s="27">
        <v>0</v>
      </c>
      <c r="Q94" s="27">
        <v>0</v>
      </c>
      <c r="R94" s="27">
        <f t="shared" ref="R94" si="88">+SUM(N94:Q94)</f>
        <v>0</v>
      </c>
      <c r="S94" s="27">
        <v>0</v>
      </c>
      <c r="T94" s="27">
        <v>0</v>
      </c>
      <c r="U94" s="27">
        <v>0</v>
      </c>
      <c r="V94" s="27">
        <v>0</v>
      </c>
      <c r="W94" s="27">
        <f t="shared" ref="W94" si="89">+SUM(S94:V94)</f>
        <v>0</v>
      </c>
      <c r="X94" s="38"/>
      <c r="Y94" s="38"/>
    </row>
    <row r="95" spans="1:25" outlineLevel="2" x14ac:dyDescent="0.25"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8"/>
      <c r="Y95" s="38"/>
    </row>
    <row r="96" spans="1:25" s="33" customFormat="1" outlineLevel="1" x14ac:dyDescent="0.25">
      <c r="A96" s="21">
        <v>2</v>
      </c>
      <c r="B96" s="32" t="s">
        <v>23</v>
      </c>
      <c r="E96" s="39">
        <f t="shared" ref="E96:V96" si="90">-SUM(E98:E115)</f>
        <v>-67171.600000000006</v>
      </c>
      <c r="F96" s="39">
        <f t="shared" si="90"/>
        <v>-12996.599999999999</v>
      </c>
      <c r="G96" s="39">
        <f t="shared" si="90"/>
        <v>-13096.599999999999</v>
      </c>
      <c r="H96" s="39">
        <f t="shared" si="90"/>
        <v>-68017.009999999995</v>
      </c>
      <c r="I96" s="39">
        <f t="shared" si="90"/>
        <v>-531229.15874999994</v>
      </c>
      <c r="J96" s="39">
        <f t="shared" si="90"/>
        <v>-567822.90874999994</v>
      </c>
      <c r="K96" s="39">
        <f t="shared" si="90"/>
        <v>-527822.90874999994</v>
      </c>
      <c r="L96" s="39">
        <f t="shared" si="90"/>
        <v>-525138.03874999995</v>
      </c>
      <c r="M96" s="39">
        <f t="shared" ref="M96:P96" si="91">-SUM(M98:M115)</f>
        <v>-2152013.0149999997</v>
      </c>
      <c r="N96" s="39">
        <f t="shared" si="91"/>
        <v>-773703.75846428575</v>
      </c>
      <c r="O96" s="39">
        <f t="shared" si="91"/>
        <v>-814306.76846428565</v>
      </c>
      <c r="P96" s="39">
        <f t="shared" si="91"/>
        <v>-814306.76846428565</v>
      </c>
      <c r="Q96" s="39">
        <f t="shared" si="90"/>
        <v>-789270.29996428569</v>
      </c>
      <c r="R96" s="39">
        <f t="shared" si="90"/>
        <v>-3191587.5953571424</v>
      </c>
      <c r="S96" s="39">
        <f t="shared" si="90"/>
        <v>-76704.763399999996</v>
      </c>
      <c r="T96" s="39">
        <f t="shared" si="90"/>
        <v>-35029.763400000003</v>
      </c>
      <c r="U96" s="39">
        <f t="shared" si="90"/>
        <v>-35029.763400000003</v>
      </c>
      <c r="V96" s="39">
        <f t="shared" si="90"/>
        <v>-55330.563400000006</v>
      </c>
      <c r="W96" s="39">
        <f t="shared" ref="W96" si="92">-SUM(W98:W115)</f>
        <v>-202094.8536</v>
      </c>
      <c r="X96" s="40"/>
      <c r="Y96" s="40"/>
    </row>
    <row r="97" spans="2:25" outlineLevel="2" x14ac:dyDescent="0.25"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8"/>
      <c r="Y97" s="38"/>
    </row>
    <row r="98" spans="2:25" outlineLevel="2" x14ac:dyDescent="0.25">
      <c r="B98" s="1" t="s">
        <v>94</v>
      </c>
      <c r="E98" s="37">
        <v>0</v>
      </c>
      <c r="F98" s="37">
        <v>0</v>
      </c>
      <c r="G98" s="37">
        <v>0</v>
      </c>
      <c r="H98" s="37">
        <v>0</v>
      </c>
      <c r="I98" s="37">
        <f>(215000)*1.2688/8</f>
        <v>34099</v>
      </c>
      <c r="J98" s="37">
        <f t="shared" ref="J98:Q98" si="93">(215000)*1.2688/8</f>
        <v>34099</v>
      </c>
      <c r="K98" s="37">
        <f t="shared" si="93"/>
        <v>34099</v>
      </c>
      <c r="L98" s="37">
        <f t="shared" si="93"/>
        <v>34099</v>
      </c>
      <c r="M98" s="37">
        <f t="shared" ref="M98:M115" si="94">+SUM(I98:L98)</f>
        <v>136396</v>
      </c>
      <c r="N98" s="37">
        <f t="shared" si="93"/>
        <v>34099</v>
      </c>
      <c r="O98" s="37">
        <f t="shared" si="93"/>
        <v>34099</v>
      </c>
      <c r="P98" s="37">
        <f t="shared" si="93"/>
        <v>34099</v>
      </c>
      <c r="Q98" s="37">
        <f t="shared" si="93"/>
        <v>34099</v>
      </c>
      <c r="R98" s="37">
        <f t="shared" ref="R98:R115" si="95">+SUM(N98:Q98)</f>
        <v>136396</v>
      </c>
      <c r="S98" s="37">
        <v>0</v>
      </c>
      <c r="T98" s="37">
        <v>0</v>
      </c>
      <c r="U98" s="37">
        <v>0</v>
      </c>
      <c r="V98" s="37">
        <v>0</v>
      </c>
      <c r="W98" s="37">
        <f t="shared" ref="W98:W115" si="96">+SUM(S98:V98)</f>
        <v>0</v>
      </c>
      <c r="X98" s="38"/>
      <c r="Y98" s="38"/>
    </row>
    <row r="99" spans="2:25" outlineLevel="2" x14ac:dyDescent="0.25">
      <c r="B99" s="52" t="s">
        <v>95</v>
      </c>
      <c r="E99" s="37">
        <v>0</v>
      </c>
      <c r="F99" s="37">
        <v>0</v>
      </c>
      <c r="G99" s="37">
        <v>0</v>
      </c>
      <c r="H99" s="37">
        <v>0</v>
      </c>
      <c r="I99" s="37">
        <f>(139000)*1.2688/8</f>
        <v>22045.399999999998</v>
      </c>
      <c r="J99" s="37">
        <f t="shared" ref="J99:Q100" si="97">(139000)*1.2688/8</f>
        <v>22045.399999999998</v>
      </c>
      <c r="K99" s="37">
        <f t="shared" si="97"/>
        <v>22045.399999999998</v>
      </c>
      <c r="L99" s="37">
        <f t="shared" si="97"/>
        <v>22045.399999999998</v>
      </c>
      <c r="M99" s="37">
        <f t="shared" si="94"/>
        <v>88181.599999999991</v>
      </c>
      <c r="N99" s="37">
        <f t="shared" si="97"/>
        <v>22045.399999999998</v>
      </c>
      <c r="O99" s="37">
        <f t="shared" si="97"/>
        <v>22045.399999999998</v>
      </c>
      <c r="P99" s="37">
        <f t="shared" si="97"/>
        <v>22045.399999999998</v>
      </c>
      <c r="Q99" s="37">
        <f t="shared" si="97"/>
        <v>22045.399999999998</v>
      </c>
      <c r="R99" s="37">
        <f t="shared" si="95"/>
        <v>88181.599999999991</v>
      </c>
      <c r="S99" s="37">
        <v>0</v>
      </c>
      <c r="T99" s="37">
        <v>0</v>
      </c>
      <c r="U99" s="37">
        <v>0</v>
      </c>
      <c r="V99" s="37">
        <v>0</v>
      </c>
      <c r="W99" s="37">
        <f t="shared" si="96"/>
        <v>0</v>
      </c>
      <c r="X99" s="38"/>
      <c r="Y99" s="38"/>
    </row>
    <row r="100" spans="2:25" outlineLevel="2" x14ac:dyDescent="0.25">
      <c r="B100" s="52" t="s">
        <v>96</v>
      </c>
      <c r="E100" s="37">
        <v>0</v>
      </c>
      <c r="F100" s="37">
        <v>0</v>
      </c>
      <c r="G100" s="37">
        <v>0</v>
      </c>
      <c r="H100" s="37">
        <v>0</v>
      </c>
      <c r="I100" s="37">
        <f>(139000)*1.2688/8</f>
        <v>22045.399999999998</v>
      </c>
      <c r="J100" s="37">
        <f t="shared" si="97"/>
        <v>22045.399999999998</v>
      </c>
      <c r="K100" s="37">
        <f t="shared" si="97"/>
        <v>22045.399999999998</v>
      </c>
      <c r="L100" s="37">
        <f t="shared" si="97"/>
        <v>22045.399999999998</v>
      </c>
      <c r="M100" s="37">
        <f t="shared" si="94"/>
        <v>88181.599999999991</v>
      </c>
      <c r="N100" s="37">
        <f t="shared" si="97"/>
        <v>22045.399999999998</v>
      </c>
      <c r="O100" s="37">
        <f t="shared" si="97"/>
        <v>22045.399999999998</v>
      </c>
      <c r="P100" s="37">
        <f t="shared" si="97"/>
        <v>22045.399999999998</v>
      </c>
      <c r="Q100" s="37">
        <f t="shared" si="97"/>
        <v>22045.399999999998</v>
      </c>
      <c r="R100" s="37">
        <f t="shared" si="95"/>
        <v>88181.599999999991</v>
      </c>
      <c r="S100" s="37">
        <v>0</v>
      </c>
      <c r="T100" s="37">
        <v>0</v>
      </c>
      <c r="U100" s="37">
        <v>0</v>
      </c>
      <c r="V100" s="37">
        <v>0</v>
      </c>
      <c r="W100" s="37">
        <f t="shared" si="96"/>
        <v>0</v>
      </c>
      <c r="X100" s="38"/>
      <c r="Y100" s="38"/>
    </row>
    <row r="101" spans="2:25" outlineLevel="2" x14ac:dyDescent="0.25">
      <c r="B101" s="54" t="s">
        <v>97</v>
      </c>
      <c r="E101" s="37">
        <f>(26500*1.2688)/4</f>
        <v>8405.7999999999993</v>
      </c>
      <c r="F101" s="37">
        <f>(26500*1.2688)/4</f>
        <v>8405.7999999999993</v>
      </c>
      <c r="G101" s="37">
        <f t="shared" ref="G101:H101" si="98">(26500*1.2688)/4</f>
        <v>8405.7999999999993</v>
      </c>
      <c r="H101" s="37">
        <f t="shared" si="98"/>
        <v>8405.7999999999993</v>
      </c>
      <c r="I101" s="37">
        <v>0</v>
      </c>
      <c r="J101" s="37">
        <v>0</v>
      </c>
      <c r="K101" s="37">
        <v>0</v>
      </c>
      <c r="L101" s="37">
        <v>0</v>
      </c>
      <c r="M101" s="37">
        <f t="shared" si="94"/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f t="shared" si="95"/>
        <v>0</v>
      </c>
      <c r="S101" s="37">
        <f>(50000*1.2688)/4</f>
        <v>15860</v>
      </c>
      <c r="T101" s="37">
        <f t="shared" ref="T101:V101" si="99">(50000*1.2688)/4</f>
        <v>15860</v>
      </c>
      <c r="U101" s="37">
        <f t="shared" si="99"/>
        <v>15860</v>
      </c>
      <c r="V101" s="37">
        <f t="shared" si="99"/>
        <v>15860</v>
      </c>
      <c r="W101" s="37">
        <f t="shared" si="96"/>
        <v>63440</v>
      </c>
      <c r="X101" s="38"/>
      <c r="Y101" s="38"/>
    </row>
    <row r="102" spans="2:25" outlineLevel="2" x14ac:dyDescent="0.25">
      <c r="B102" s="1" t="s">
        <v>98</v>
      </c>
      <c r="E102" s="37">
        <v>0</v>
      </c>
      <c r="F102" s="37">
        <v>0</v>
      </c>
      <c r="G102" s="37">
        <v>0</v>
      </c>
      <c r="H102" s="37">
        <v>0</v>
      </c>
      <c r="I102" s="37">
        <f>55000*1.2688/8</f>
        <v>8723</v>
      </c>
      <c r="J102" s="37">
        <f t="shared" ref="J102:Q102" si="100">55000*1.2688/8</f>
        <v>8723</v>
      </c>
      <c r="K102" s="37">
        <f t="shared" si="100"/>
        <v>8723</v>
      </c>
      <c r="L102" s="37">
        <f t="shared" si="100"/>
        <v>8723</v>
      </c>
      <c r="M102" s="37">
        <f t="shared" si="94"/>
        <v>34892</v>
      </c>
      <c r="N102" s="37">
        <f t="shared" si="100"/>
        <v>8723</v>
      </c>
      <c r="O102" s="37">
        <f t="shared" si="100"/>
        <v>8723</v>
      </c>
      <c r="P102" s="37">
        <f t="shared" si="100"/>
        <v>8723</v>
      </c>
      <c r="Q102" s="37">
        <f t="shared" si="100"/>
        <v>8723</v>
      </c>
      <c r="R102" s="37">
        <f t="shared" si="95"/>
        <v>34892</v>
      </c>
      <c r="S102" s="37">
        <v>0</v>
      </c>
      <c r="T102" s="37">
        <v>0</v>
      </c>
      <c r="U102" s="37">
        <v>0</v>
      </c>
      <c r="V102" s="37">
        <v>0</v>
      </c>
      <c r="W102" s="37">
        <f t="shared" si="96"/>
        <v>0</v>
      </c>
      <c r="X102" s="38"/>
      <c r="Y102" s="38"/>
    </row>
    <row r="103" spans="2:25" outlineLevel="2" x14ac:dyDescent="0.25">
      <c r="B103" s="1" t="s">
        <v>56</v>
      </c>
      <c r="E103" s="37">
        <v>36675</v>
      </c>
      <c r="F103" s="37">
        <v>0</v>
      </c>
      <c r="G103" s="37">
        <v>0</v>
      </c>
      <c r="H103" s="37">
        <v>0</v>
      </c>
      <c r="I103" s="37">
        <v>36675</v>
      </c>
      <c r="J103" s="37">
        <v>0</v>
      </c>
      <c r="K103" s="37">
        <v>0</v>
      </c>
      <c r="L103" s="37">
        <v>0</v>
      </c>
      <c r="M103" s="37">
        <f t="shared" si="94"/>
        <v>36675</v>
      </c>
      <c r="N103" s="37">
        <v>36675</v>
      </c>
      <c r="O103" s="37">
        <v>0</v>
      </c>
      <c r="P103" s="37">
        <v>0</v>
      </c>
      <c r="Q103" s="37">
        <v>0</v>
      </c>
      <c r="R103" s="37">
        <f t="shared" si="95"/>
        <v>36675</v>
      </c>
      <c r="S103" s="37">
        <v>36675</v>
      </c>
      <c r="T103" s="37">
        <v>0</v>
      </c>
      <c r="U103" s="37">
        <v>0</v>
      </c>
      <c r="V103" s="37">
        <v>0</v>
      </c>
      <c r="W103" s="37">
        <f t="shared" si="96"/>
        <v>36675</v>
      </c>
      <c r="X103" s="38"/>
      <c r="Y103" s="38"/>
    </row>
    <row r="104" spans="2:25" outlineLevel="2" x14ac:dyDescent="0.25">
      <c r="B104" s="1" t="s">
        <v>68</v>
      </c>
      <c r="E104" s="37">
        <v>17500</v>
      </c>
      <c r="F104" s="37">
        <v>0</v>
      </c>
      <c r="G104" s="37">
        <v>0</v>
      </c>
      <c r="H104" s="47">
        <f>15968.08</f>
        <v>15968.08</v>
      </c>
      <c r="I104" s="37">
        <v>0</v>
      </c>
      <c r="J104" s="37">
        <v>0</v>
      </c>
      <c r="K104" s="37">
        <v>0</v>
      </c>
      <c r="L104" s="37">
        <v>0</v>
      </c>
      <c r="M104" s="37">
        <f t="shared" si="94"/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f t="shared" si="95"/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f t="shared" si="96"/>
        <v>0</v>
      </c>
      <c r="X104" s="38"/>
      <c r="Y104" s="38"/>
    </row>
    <row r="105" spans="2:25" outlineLevel="2" x14ac:dyDescent="0.25">
      <c r="B105" s="1" t="s">
        <v>79</v>
      </c>
      <c r="E105" s="37">
        <v>0</v>
      </c>
      <c r="F105" s="37">
        <v>0</v>
      </c>
      <c r="G105" s="37">
        <v>0</v>
      </c>
      <c r="H105" s="37">
        <v>0</v>
      </c>
      <c r="I105" s="47">
        <v>3000</v>
      </c>
      <c r="J105" s="37">
        <v>0</v>
      </c>
      <c r="K105" s="37">
        <v>0</v>
      </c>
      <c r="L105" s="37">
        <v>0</v>
      </c>
      <c r="M105" s="37">
        <f t="shared" si="94"/>
        <v>3000</v>
      </c>
      <c r="N105" s="37">
        <v>0</v>
      </c>
      <c r="O105" s="37">
        <v>0</v>
      </c>
      <c r="P105" s="37">
        <v>0</v>
      </c>
      <c r="Q105" s="47">
        <v>0</v>
      </c>
      <c r="R105" s="37">
        <f t="shared" si="95"/>
        <v>0</v>
      </c>
      <c r="S105" s="47">
        <v>3000</v>
      </c>
      <c r="T105" s="37">
        <v>0</v>
      </c>
      <c r="U105" s="37">
        <v>0</v>
      </c>
      <c r="V105" s="37">
        <v>0</v>
      </c>
      <c r="W105" s="37">
        <f t="shared" si="96"/>
        <v>3000</v>
      </c>
      <c r="X105" s="38"/>
      <c r="Y105" s="38"/>
    </row>
    <row r="106" spans="2:25" outlineLevel="2" x14ac:dyDescent="0.25">
      <c r="B106" s="52" t="s">
        <v>80</v>
      </c>
      <c r="E106" s="37">
        <f>(14000*1.2688)/4</f>
        <v>4440.8</v>
      </c>
      <c r="F106" s="37">
        <f t="shared" ref="F106:H106" si="101">(14000*1.2688)/4</f>
        <v>4440.8</v>
      </c>
      <c r="G106" s="37">
        <f t="shared" si="101"/>
        <v>4440.8</v>
      </c>
      <c r="H106" s="37">
        <f t="shared" si="101"/>
        <v>4440.8</v>
      </c>
      <c r="I106" s="37">
        <v>0</v>
      </c>
      <c r="J106" s="37">
        <v>0</v>
      </c>
      <c r="K106" s="37">
        <v>0</v>
      </c>
      <c r="L106" s="37">
        <v>0</v>
      </c>
      <c r="M106" s="37">
        <f t="shared" si="94"/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f t="shared" si="95"/>
        <v>0</v>
      </c>
      <c r="S106" s="37">
        <f>(50000*1.2688)/4</f>
        <v>15860</v>
      </c>
      <c r="T106" s="37">
        <f t="shared" ref="T106:V106" si="102">(50000*1.2688)/4</f>
        <v>15860</v>
      </c>
      <c r="U106" s="37">
        <f t="shared" si="102"/>
        <v>15860</v>
      </c>
      <c r="V106" s="37">
        <f t="shared" si="102"/>
        <v>15860</v>
      </c>
      <c r="W106" s="37">
        <f t="shared" si="96"/>
        <v>63440</v>
      </c>
      <c r="X106" s="38"/>
      <c r="Y106" s="38"/>
    </row>
    <row r="107" spans="2:25" outlineLevel="2" x14ac:dyDescent="0.25">
      <c r="B107" s="1" t="s">
        <v>69</v>
      </c>
      <c r="E107" s="37">
        <v>0</v>
      </c>
      <c r="F107" s="37">
        <v>0</v>
      </c>
      <c r="G107" s="37">
        <v>0</v>
      </c>
      <c r="H107" s="37">
        <f>6700*1.22</f>
        <v>8174</v>
      </c>
      <c r="I107" s="37">
        <v>0</v>
      </c>
      <c r="J107" s="37">
        <v>0</v>
      </c>
      <c r="K107" s="37">
        <v>0</v>
      </c>
      <c r="L107" s="37">
        <v>12000</v>
      </c>
      <c r="M107" s="37">
        <f t="shared" si="94"/>
        <v>12000</v>
      </c>
      <c r="N107" s="37">
        <v>0</v>
      </c>
      <c r="O107" s="37">
        <v>0</v>
      </c>
      <c r="P107" s="37">
        <v>0</v>
      </c>
      <c r="Q107" s="37">
        <v>12000</v>
      </c>
      <c r="R107" s="37">
        <f t="shared" si="95"/>
        <v>12000</v>
      </c>
      <c r="S107" s="37">
        <f>2000/4</f>
        <v>500</v>
      </c>
      <c r="T107" s="37">
        <f t="shared" ref="T107:V107" si="103">2000/4</f>
        <v>500</v>
      </c>
      <c r="U107" s="37">
        <f t="shared" si="103"/>
        <v>500</v>
      </c>
      <c r="V107" s="37">
        <f t="shared" si="103"/>
        <v>500</v>
      </c>
      <c r="W107" s="37">
        <f t="shared" si="96"/>
        <v>2000</v>
      </c>
      <c r="X107" s="38"/>
      <c r="Y107" s="38"/>
    </row>
    <row r="108" spans="2:25" outlineLevel="2" x14ac:dyDescent="0.25">
      <c r="B108" s="46" t="s">
        <v>78</v>
      </c>
      <c r="E108" s="37">
        <v>150</v>
      </c>
      <c r="F108" s="37">
        <v>150</v>
      </c>
      <c r="G108" s="37">
        <v>250</v>
      </c>
      <c r="H108" s="37">
        <v>300</v>
      </c>
      <c r="I108" s="37">
        <v>400</v>
      </c>
      <c r="J108" s="37">
        <v>400</v>
      </c>
      <c r="K108" s="37">
        <v>400</v>
      </c>
      <c r="L108" s="37">
        <v>400</v>
      </c>
      <c r="M108" s="37">
        <f t="shared" si="94"/>
        <v>1600</v>
      </c>
      <c r="N108" s="37">
        <v>400</v>
      </c>
      <c r="O108" s="37">
        <v>400</v>
      </c>
      <c r="P108" s="37">
        <v>400</v>
      </c>
      <c r="Q108" s="37">
        <v>400</v>
      </c>
      <c r="R108" s="37">
        <f t="shared" si="95"/>
        <v>1600</v>
      </c>
      <c r="S108" s="37">
        <v>400</v>
      </c>
      <c r="T108" s="37">
        <v>400</v>
      </c>
      <c r="U108" s="37">
        <v>400</v>
      </c>
      <c r="V108" s="37">
        <v>400</v>
      </c>
      <c r="W108" s="37">
        <f t="shared" si="96"/>
        <v>1600</v>
      </c>
      <c r="X108" s="38"/>
      <c r="Y108" s="38"/>
    </row>
    <row r="109" spans="2:25" outlineLevel="2" x14ac:dyDescent="0.25">
      <c r="B109" s="1" t="s">
        <v>59</v>
      </c>
      <c r="E109" s="37">
        <v>0</v>
      </c>
      <c r="F109" s="47">
        <v>0</v>
      </c>
      <c r="G109" s="37">
        <v>0</v>
      </c>
      <c r="H109" s="37">
        <f>16000*1.2688</f>
        <v>20300.8</v>
      </c>
      <c r="I109" s="37">
        <v>0</v>
      </c>
      <c r="J109" s="37">
        <v>0</v>
      </c>
      <c r="K109" s="37">
        <v>0</v>
      </c>
      <c r="L109" s="47">
        <f>16000*1.2688</f>
        <v>20300.8</v>
      </c>
      <c r="M109" s="47">
        <f t="shared" si="94"/>
        <v>20300.8</v>
      </c>
      <c r="N109" s="47">
        <v>0</v>
      </c>
      <c r="O109" s="37">
        <v>0</v>
      </c>
      <c r="P109" s="37">
        <v>0</v>
      </c>
      <c r="Q109" s="47">
        <f>16000*1.2688</f>
        <v>20300.8</v>
      </c>
      <c r="R109" s="47">
        <f t="shared" si="95"/>
        <v>20300.8</v>
      </c>
      <c r="S109" s="47">
        <v>0</v>
      </c>
      <c r="T109" s="37">
        <v>0</v>
      </c>
      <c r="U109" s="37">
        <v>0</v>
      </c>
      <c r="V109" s="37">
        <f>16000*1.2688</f>
        <v>20300.8</v>
      </c>
      <c r="W109" s="47">
        <f t="shared" si="96"/>
        <v>20300.8</v>
      </c>
      <c r="X109" s="38"/>
      <c r="Y109" s="38"/>
    </row>
    <row r="110" spans="2:25" outlineLevel="2" x14ac:dyDescent="0.25">
      <c r="B110" s="1" t="s">
        <v>70</v>
      </c>
      <c r="E110" s="37">
        <v>0</v>
      </c>
      <c r="F110" s="37">
        <v>0</v>
      </c>
      <c r="G110" s="37">
        <v>0</v>
      </c>
      <c r="H110" s="37">
        <f>133.61+133.61+160.31</f>
        <v>427.53000000000003</v>
      </c>
      <c r="I110" s="37">
        <v>500</v>
      </c>
      <c r="J110" s="37">
        <v>0</v>
      </c>
      <c r="K110" s="37">
        <v>0</v>
      </c>
      <c r="L110" s="37">
        <v>0</v>
      </c>
      <c r="M110" s="37">
        <f t="shared" si="94"/>
        <v>500</v>
      </c>
      <c r="N110" s="37">
        <v>500</v>
      </c>
      <c r="O110" s="37">
        <v>0</v>
      </c>
      <c r="P110" s="37">
        <v>0</v>
      </c>
      <c r="Q110" s="37">
        <v>0</v>
      </c>
      <c r="R110" s="37">
        <f t="shared" si="95"/>
        <v>500</v>
      </c>
      <c r="S110" s="37">
        <v>0</v>
      </c>
      <c r="T110" s="37">
        <v>0</v>
      </c>
      <c r="U110" s="37">
        <v>0</v>
      </c>
      <c r="V110" s="37">
        <v>0</v>
      </c>
      <c r="W110" s="37">
        <f t="shared" si="96"/>
        <v>0</v>
      </c>
      <c r="X110" s="38"/>
      <c r="Y110" s="38"/>
    </row>
    <row r="111" spans="2:25" outlineLevel="2" x14ac:dyDescent="0.25">
      <c r="B111" s="1" t="s">
        <v>67</v>
      </c>
      <c r="E111" s="37">
        <v>0</v>
      </c>
      <c r="F111" s="37" t="s">
        <v>74</v>
      </c>
      <c r="G111" s="37">
        <v>0</v>
      </c>
      <c r="H111" s="37">
        <v>10000</v>
      </c>
      <c r="I111" s="37">
        <v>7000</v>
      </c>
      <c r="J111" s="37">
        <v>7000</v>
      </c>
      <c r="K111" s="37">
        <v>7000</v>
      </c>
      <c r="L111" s="37">
        <v>7000</v>
      </c>
      <c r="M111" s="37">
        <f t="shared" si="94"/>
        <v>28000</v>
      </c>
      <c r="N111" s="37">
        <v>7000</v>
      </c>
      <c r="O111" s="37">
        <v>7000</v>
      </c>
      <c r="P111" s="37">
        <v>7000</v>
      </c>
      <c r="Q111" s="37">
        <v>7000</v>
      </c>
      <c r="R111" s="37">
        <f t="shared" si="95"/>
        <v>28000</v>
      </c>
      <c r="S111" s="37">
        <v>2000</v>
      </c>
      <c r="T111" s="37">
        <v>2000</v>
      </c>
      <c r="U111" s="37">
        <v>2000</v>
      </c>
      <c r="V111" s="37">
        <v>2000</v>
      </c>
      <c r="W111" s="37">
        <f t="shared" si="96"/>
        <v>8000</v>
      </c>
      <c r="X111" s="38"/>
      <c r="Y111" s="38"/>
    </row>
    <row r="112" spans="2:25" outlineLevel="2" x14ac:dyDescent="0.25">
      <c r="B112" s="1" t="s">
        <v>60</v>
      </c>
      <c r="E112" s="37"/>
      <c r="F112" s="37"/>
      <c r="G112" s="37"/>
      <c r="H112" s="37"/>
      <c r="I112" s="37">
        <v>7000</v>
      </c>
      <c r="J112" s="37">
        <v>0</v>
      </c>
      <c r="K112" s="37">
        <v>0</v>
      </c>
      <c r="L112" s="37">
        <v>0</v>
      </c>
      <c r="M112" s="37">
        <f t="shared" si="94"/>
        <v>7000</v>
      </c>
      <c r="N112" s="37">
        <v>2000</v>
      </c>
      <c r="O112" s="37">
        <v>0</v>
      </c>
      <c r="P112" s="37">
        <v>0</v>
      </c>
      <c r="Q112" s="37">
        <v>0</v>
      </c>
      <c r="R112" s="37">
        <f t="shared" si="95"/>
        <v>2000</v>
      </c>
      <c r="S112" s="37">
        <v>2000</v>
      </c>
      <c r="T112" s="37">
        <v>0</v>
      </c>
      <c r="U112" s="37">
        <v>0</v>
      </c>
      <c r="V112" s="37">
        <v>0</v>
      </c>
      <c r="W112" s="37">
        <f t="shared" si="96"/>
        <v>2000</v>
      </c>
      <c r="X112" s="38"/>
      <c r="Y112" s="38"/>
    </row>
    <row r="113" spans="1:25" outlineLevel="2" x14ac:dyDescent="0.25">
      <c r="B113" s="1" t="s">
        <v>75</v>
      </c>
      <c r="E113" s="37"/>
      <c r="F113" s="37"/>
      <c r="G113" s="37"/>
      <c r="H113" s="37"/>
      <c r="I113" s="37">
        <v>109.76339999999999</v>
      </c>
      <c r="J113" s="37">
        <v>109.76339999999999</v>
      </c>
      <c r="K113" s="37">
        <v>109.76339999999999</v>
      </c>
      <c r="L113" s="37">
        <v>109.76339999999999</v>
      </c>
      <c r="M113" s="37">
        <f t="shared" si="94"/>
        <v>439.05359999999996</v>
      </c>
      <c r="N113" s="37">
        <v>109.76339999999999</v>
      </c>
      <c r="O113" s="37">
        <v>109.76339999999999</v>
      </c>
      <c r="P113" s="37">
        <v>109.76339999999999</v>
      </c>
      <c r="Q113" s="37">
        <v>109.76339999999999</v>
      </c>
      <c r="R113" s="37">
        <f t="shared" si="95"/>
        <v>439.05359999999996</v>
      </c>
      <c r="S113" s="37">
        <v>109.76339999999999</v>
      </c>
      <c r="T113" s="37">
        <v>109.76339999999999</v>
      </c>
      <c r="U113" s="37">
        <v>109.76339999999999</v>
      </c>
      <c r="V113" s="37">
        <v>109.76339999999999</v>
      </c>
      <c r="W113" s="37">
        <f t="shared" si="96"/>
        <v>439.05359999999996</v>
      </c>
      <c r="X113" s="38"/>
      <c r="Y113" s="38"/>
    </row>
    <row r="114" spans="1:25" outlineLevel="2" x14ac:dyDescent="0.25">
      <c r="B114" s="1" t="s">
        <v>61</v>
      </c>
      <c r="E114" s="37"/>
      <c r="F114" s="37"/>
      <c r="G114" s="37"/>
      <c r="H114" s="37"/>
      <c r="I114" s="37">
        <v>300</v>
      </c>
      <c r="J114" s="37">
        <v>300</v>
      </c>
      <c r="K114" s="37">
        <v>300</v>
      </c>
      <c r="L114" s="37">
        <v>300</v>
      </c>
      <c r="M114" s="37">
        <f t="shared" si="94"/>
        <v>1200</v>
      </c>
      <c r="N114" s="37">
        <v>300</v>
      </c>
      <c r="O114" s="37">
        <v>300</v>
      </c>
      <c r="P114" s="37">
        <v>300</v>
      </c>
      <c r="Q114" s="37">
        <v>300</v>
      </c>
      <c r="R114" s="37">
        <f t="shared" si="95"/>
        <v>1200</v>
      </c>
      <c r="S114" s="37">
        <v>300</v>
      </c>
      <c r="T114" s="37">
        <v>300</v>
      </c>
      <c r="U114" s="37">
        <v>300</v>
      </c>
      <c r="V114" s="37">
        <v>300</v>
      </c>
      <c r="W114" s="37">
        <f t="shared" si="96"/>
        <v>1200</v>
      </c>
      <c r="X114" s="38"/>
      <c r="Y114" s="38"/>
    </row>
    <row r="115" spans="1:25" outlineLevel="2" x14ac:dyDescent="0.25">
      <c r="B115" s="1" t="s">
        <v>90</v>
      </c>
      <c r="E115" s="37">
        <v>0</v>
      </c>
      <c r="F115" s="37">
        <v>0</v>
      </c>
      <c r="G115" s="37">
        <v>0</v>
      </c>
      <c r="H115" s="37">
        <v>0</v>
      </c>
      <c r="I115" s="37">
        <f>I72-(SUM(I98:I114,I119,I123:I126,I135:I138,I155:I158,I162))+(824288.17/8)+I164+25000</f>
        <v>389331.59534999996</v>
      </c>
      <c r="J115" s="37">
        <f>J72-(SUM(J98:J114,J119,J123:J126,J135:J138,J155:J158,J162))+(824288.17/8)+J164+25000</f>
        <v>473100.34534999996</v>
      </c>
      <c r="K115" s="37">
        <f>K72-(SUM(K98:K114,K119,K123:K126,K135:K138,K155:K158,K162))+(824288.17/8)+K164+25000</f>
        <v>433100.34534999996</v>
      </c>
      <c r="L115" s="37">
        <f>L72-(SUM(L98:L114,L119,L123:L126,L135:L138,L155:L158,L162))+(824288.17/8)+L164+25000</f>
        <v>398114.67534999998</v>
      </c>
      <c r="M115" s="37">
        <f t="shared" si="94"/>
        <v>1693646.9613999997</v>
      </c>
      <c r="N115" s="37">
        <f>N72-(SUM(N98:N114,N119,N123:N126,N135:N138,N155:N158,N162))+(824288.17/8)+N164+25000</f>
        <v>639806.19506428577</v>
      </c>
      <c r="O115" s="37">
        <f>O72-(SUM(O98:O114,O119,O123:O126,O135:O138,O155:O158,O162))+(824288.17/8)+O164+25000</f>
        <v>719584.20506428566</v>
      </c>
      <c r="P115" s="37">
        <f>P72-(SUM(P98:P114,P119,P123:P126,P135:P138,P155:P158,P162))+(824288.17/8)+P164+25000</f>
        <v>719584.20506428566</v>
      </c>
      <c r="Q115" s="37">
        <f>Q72-(SUM(Q98:Q114,Q119,Q123:Q126,Q135:Q138,Q155:Q158,Q162))+(824288.17/8)+Q164+25000</f>
        <v>662246.93656428566</v>
      </c>
      <c r="R115" s="37">
        <f t="shared" si="95"/>
        <v>2741221.5417571426</v>
      </c>
      <c r="S115" s="37">
        <v>0</v>
      </c>
      <c r="T115" s="37">
        <v>0</v>
      </c>
      <c r="U115" s="37">
        <v>0</v>
      </c>
      <c r="V115" s="37">
        <v>0</v>
      </c>
      <c r="W115" s="37">
        <f t="shared" si="96"/>
        <v>0</v>
      </c>
      <c r="X115" s="38"/>
      <c r="Y115" s="38"/>
    </row>
    <row r="116" spans="1:25" outlineLevel="2" x14ac:dyDescent="0.25"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8"/>
      <c r="Y116" s="38"/>
    </row>
    <row r="117" spans="1:25" s="33" customFormat="1" outlineLevel="1" x14ac:dyDescent="0.25">
      <c r="A117" s="21">
        <v>3</v>
      </c>
      <c r="B117" s="32" t="s">
        <v>24</v>
      </c>
      <c r="E117" s="39">
        <f t="shared" ref="E117:V117" si="104">-SUM(E119:E119)</f>
        <v>0</v>
      </c>
      <c r="F117" s="39">
        <f t="shared" si="104"/>
        <v>0</v>
      </c>
      <c r="G117" s="39">
        <f t="shared" si="104"/>
        <v>0</v>
      </c>
      <c r="H117" s="39">
        <f t="shared" si="104"/>
        <v>-450</v>
      </c>
      <c r="I117" s="39">
        <f t="shared" si="104"/>
        <v>-450</v>
      </c>
      <c r="J117" s="39">
        <f t="shared" si="104"/>
        <v>-450</v>
      </c>
      <c r="K117" s="39">
        <f t="shared" si="104"/>
        <v>-450</v>
      </c>
      <c r="L117" s="39">
        <f t="shared" si="104"/>
        <v>-450</v>
      </c>
      <c r="M117" s="39">
        <f t="shared" ref="M117" si="105">-SUM(M119:M119)</f>
        <v>-1800</v>
      </c>
      <c r="N117" s="39">
        <f t="shared" si="104"/>
        <v>-450</v>
      </c>
      <c r="O117" s="39">
        <f>-SUM(O119:O119)</f>
        <v>-450</v>
      </c>
      <c r="P117" s="39">
        <f t="shared" si="104"/>
        <v>-450</v>
      </c>
      <c r="Q117" s="39">
        <f t="shared" si="104"/>
        <v>-450</v>
      </c>
      <c r="R117" s="39">
        <f t="shared" si="104"/>
        <v>-1800</v>
      </c>
      <c r="S117" s="39">
        <f t="shared" si="104"/>
        <v>-450</v>
      </c>
      <c r="T117" s="39">
        <f t="shared" si="104"/>
        <v>-450</v>
      </c>
      <c r="U117" s="39">
        <f t="shared" si="104"/>
        <v>-450</v>
      </c>
      <c r="V117" s="39">
        <f t="shared" si="104"/>
        <v>-450</v>
      </c>
      <c r="W117" s="39">
        <f t="shared" ref="W117" si="106">-SUM(W119:W119)</f>
        <v>-1800</v>
      </c>
      <c r="X117" s="40"/>
      <c r="Y117" s="40"/>
    </row>
    <row r="118" spans="1:25" outlineLevel="2" x14ac:dyDescent="0.25"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8"/>
      <c r="Y118" s="38"/>
    </row>
    <row r="119" spans="1:25" outlineLevel="2" x14ac:dyDescent="0.25">
      <c r="B119" s="1" t="s">
        <v>72</v>
      </c>
      <c r="E119" s="49">
        <v>0</v>
      </c>
      <c r="F119" s="49">
        <v>0</v>
      </c>
      <c r="G119" s="49">
        <v>0</v>
      </c>
      <c r="H119" s="49">
        <v>450</v>
      </c>
      <c r="I119" s="49">
        <v>450</v>
      </c>
      <c r="J119" s="49">
        <v>450</v>
      </c>
      <c r="K119" s="49">
        <v>450</v>
      </c>
      <c r="L119" s="49">
        <v>450</v>
      </c>
      <c r="M119" s="49">
        <f t="shared" ref="M119" si="107">+SUM(I119:L119)</f>
        <v>1800</v>
      </c>
      <c r="N119" s="49">
        <v>450</v>
      </c>
      <c r="O119" s="49">
        <v>450</v>
      </c>
      <c r="P119" s="49">
        <v>450</v>
      </c>
      <c r="Q119" s="49">
        <v>450</v>
      </c>
      <c r="R119" s="49">
        <f t="shared" ref="R119" si="108">+SUM(N119:Q119)</f>
        <v>1800</v>
      </c>
      <c r="S119" s="49">
        <v>450</v>
      </c>
      <c r="T119" s="49">
        <v>450</v>
      </c>
      <c r="U119" s="49">
        <v>450</v>
      </c>
      <c r="V119" s="49">
        <v>450</v>
      </c>
      <c r="W119" s="49">
        <f t="shared" ref="W119" si="109">+SUM(S119:V119)</f>
        <v>1800</v>
      </c>
      <c r="X119" s="38"/>
      <c r="Y119" s="38"/>
    </row>
    <row r="120" spans="1:25" outlineLevel="2" x14ac:dyDescent="0.25"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8"/>
      <c r="Y120" s="38"/>
    </row>
    <row r="121" spans="1:25" s="33" customFormat="1" outlineLevel="1" x14ac:dyDescent="0.25">
      <c r="A121" s="21">
        <v>4</v>
      </c>
      <c r="B121" s="32" t="s">
        <v>25</v>
      </c>
      <c r="E121" s="39">
        <f t="shared" ref="E121" si="110">-SUM(E123:E126)</f>
        <v>0</v>
      </c>
      <c r="F121" s="39">
        <f t="shared" ref="F121:V121" si="111">-SUM(F123:F126)</f>
        <v>-21999.989999999998</v>
      </c>
      <c r="G121" s="39">
        <f t="shared" si="111"/>
        <v>-34583.490000000005</v>
      </c>
      <c r="H121" s="39">
        <f t="shared" si="111"/>
        <v>-38750.160000000003</v>
      </c>
      <c r="I121" s="39">
        <f t="shared" si="111"/>
        <v>-84343.024999999994</v>
      </c>
      <c r="J121" s="39">
        <f t="shared" si="111"/>
        <v>-47749.274999999994</v>
      </c>
      <c r="K121" s="39">
        <f t="shared" si="111"/>
        <v>-47749.274999999994</v>
      </c>
      <c r="L121" s="39">
        <f t="shared" si="111"/>
        <v>-47749.274999999994</v>
      </c>
      <c r="M121" s="39">
        <f t="shared" ref="M121" si="112">-SUM(M123:M126)</f>
        <v>-227590.84999999998</v>
      </c>
      <c r="N121" s="39">
        <f t="shared" si="111"/>
        <v>-79353.17</v>
      </c>
      <c r="O121" s="39">
        <f t="shared" si="111"/>
        <v>-38750.160000000003</v>
      </c>
      <c r="P121" s="39">
        <f t="shared" si="111"/>
        <v>-38750.160000000003</v>
      </c>
      <c r="Q121" s="39">
        <f t="shared" si="111"/>
        <v>-49353.17</v>
      </c>
      <c r="R121" s="39">
        <f t="shared" si="111"/>
        <v>-206206.66</v>
      </c>
      <c r="S121" s="39">
        <f t="shared" si="111"/>
        <v>-30000</v>
      </c>
      <c r="T121" s="39">
        <f t="shared" si="111"/>
        <v>0</v>
      </c>
      <c r="U121" s="39">
        <f t="shared" si="111"/>
        <v>0</v>
      </c>
      <c r="V121" s="39">
        <f t="shared" si="111"/>
        <v>0</v>
      </c>
      <c r="W121" s="39">
        <f t="shared" ref="W121" si="113">-SUM(W123:W126)</f>
        <v>-30000</v>
      </c>
      <c r="X121" s="40"/>
      <c r="Y121" s="40"/>
    </row>
    <row r="122" spans="1:25" outlineLevel="2" x14ac:dyDescent="0.25"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8"/>
      <c r="Y122" s="38"/>
    </row>
    <row r="123" spans="1:25" outlineLevel="2" x14ac:dyDescent="0.25">
      <c r="B123" s="1" t="s">
        <v>71</v>
      </c>
      <c r="E123" s="37">
        <v>0</v>
      </c>
      <c r="F123" s="37">
        <v>12500</v>
      </c>
      <c r="G123" s="37">
        <v>20833.330000000002</v>
      </c>
      <c r="H123" s="37">
        <v>25000</v>
      </c>
      <c r="I123" s="37">
        <v>55000</v>
      </c>
      <c r="J123" s="37">
        <v>25000</v>
      </c>
      <c r="K123" s="37">
        <v>25000</v>
      </c>
      <c r="L123" s="37">
        <v>25000</v>
      </c>
      <c r="M123" s="37">
        <f t="shared" ref="M123:M126" si="114">+SUM(I123:L123)</f>
        <v>130000</v>
      </c>
      <c r="N123" s="37">
        <v>55000</v>
      </c>
      <c r="O123" s="37">
        <v>25000</v>
      </c>
      <c r="P123" s="37">
        <v>25000</v>
      </c>
      <c r="Q123" s="37">
        <v>25000</v>
      </c>
      <c r="R123" s="37">
        <f t="shared" ref="R123:R126" si="115">+SUM(N123:Q123)</f>
        <v>130000</v>
      </c>
      <c r="S123" s="37">
        <v>30000</v>
      </c>
      <c r="T123" s="37">
        <v>0</v>
      </c>
      <c r="U123" s="37">
        <v>0</v>
      </c>
      <c r="V123" s="37">
        <v>0</v>
      </c>
      <c r="W123" s="37">
        <f t="shared" ref="W123:W126" si="116">+SUM(S123:V123)</f>
        <v>30000</v>
      </c>
      <c r="X123" s="38"/>
      <c r="Y123" s="38"/>
    </row>
    <row r="124" spans="1:25" outlineLevel="2" x14ac:dyDescent="0.25">
      <c r="B124" s="60" t="s">
        <v>77</v>
      </c>
      <c r="E124" s="37">
        <v>0</v>
      </c>
      <c r="F124" s="37">
        <v>0</v>
      </c>
      <c r="G124" s="37">
        <v>0</v>
      </c>
      <c r="H124" s="37">
        <v>0</v>
      </c>
      <c r="I124" s="37">
        <f>24633.46/4</f>
        <v>6158.3649999999998</v>
      </c>
      <c r="J124" s="37">
        <f t="shared" ref="J124:L124" si="117">24633.46/4</f>
        <v>6158.3649999999998</v>
      </c>
      <c r="K124" s="37">
        <f t="shared" si="117"/>
        <v>6158.3649999999998</v>
      </c>
      <c r="L124" s="37">
        <f t="shared" si="117"/>
        <v>6158.3649999999998</v>
      </c>
      <c r="M124" s="37">
        <f t="shared" si="114"/>
        <v>24633.46</v>
      </c>
      <c r="N124" s="37">
        <v>0</v>
      </c>
      <c r="O124" s="37">
        <v>0</v>
      </c>
      <c r="P124" s="37">
        <v>0</v>
      </c>
      <c r="Q124" s="37">
        <v>0</v>
      </c>
      <c r="R124" s="37">
        <f t="shared" si="115"/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f t="shared" si="116"/>
        <v>0</v>
      </c>
      <c r="X124" s="38"/>
      <c r="Y124" s="38"/>
    </row>
    <row r="125" spans="1:25" outlineLevel="2" x14ac:dyDescent="0.25">
      <c r="B125" s="1" t="s">
        <v>62</v>
      </c>
      <c r="E125" s="37">
        <v>0</v>
      </c>
      <c r="F125" s="37">
        <v>9499.99</v>
      </c>
      <c r="G125" s="37">
        <v>13750.16</v>
      </c>
      <c r="H125" s="37">
        <v>13750.16</v>
      </c>
      <c r="I125" s="37">
        <v>20343.91</v>
      </c>
      <c r="J125" s="37">
        <v>13750.16</v>
      </c>
      <c r="K125" s="37">
        <v>13750.16</v>
      </c>
      <c r="L125" s="37">
        <v>13750.16</v>
      </c>
      <c r="M125" s="37">
        <f t="shared" si="114"/>
        <v>61594.39</v>
      </c>
      <c r="N125" s="37">
        <v>24353.17</v>
      </c>
      <c r="O125" s="37">
        <v>13750.16</v>
      </c>
      <c r="P125" s="37">
        <v>13750.16</v>
      </c>
      <c r="Q125" s="37">
        <v>24353.17</v>
      </c>
      <c r="R125" s="37">
        <f t="shared" si="115"/>
        <v>76206.66</v>
      </c>
      <c r="S125" s="37">
        <v>0</v>
      </c>
      <c r="T125" s="37">
        <v>0</v>
      </c>
      <c r="U125" s="37">
        <v>0</v>
      </c>
      <c r="V125" s="37">
        <v>0</v>
      </c>
      <c r="W125" s="37">
        <f t="shared" si="116"/>
        <v>0</v>
      </c>
      <c r="X125" s="38"/>
      <c r="Y125" s="38"/>
    </row>
    <row r="126" spans="1:25" outlineLevel="2" x14ac:dyDescent="0.25">
      <c r="B126" s="60" t="s">
        <v>76</v>
      </c>
      <c r="E126" s="37">
        <v>0</v>
      </c>
      <c r="F126" s="37">
        <v>0</v>
      </c>
      <c r="G126" s="37">
        <v>0</v>
      </c>
      <c r="H126" s="37">
        <v>0</v>
      </c>
      <c r="I126" s="37">
        <f>(9538+1825)/4</f>
        <v>2840.75</v>
      </c>
      <c r="J126" s="37">
        <f t="shared" ref="J126:L126" si="118">(9538+1825)/4</f>
        <v>2840.75</v>
      </c>
      <c r="K126" s="37">
        <f t="shared" si="118"/>
        <v>2840.75</v>
      </c>
      <c r="L126" s="37">
        <f t="shared" si="118"/>
        <v>2840.75</v>
      </c>
      <c r="M126" s="37">
        <f t="shared" si="114"/>
        <v>11363</v>
      </c>
      <c r="N126" s="37">
        <v>0</v>
      </c>
      <c r="O126" s="37">
        <v>0</v>
      </c>
      <c r="P126" s="37">
        <v>0</v>
      </c>
      <c r="Q126" s="37">
        <v>0</v>
      </c>
      <c r="R126" s="37">
        <f t="shared" si="115"/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f t="shared" si="116"/>
        <v>0</v>
      </c>
      <c r="X126" s="38"/>
      <c r="Y126" s="38"/>
    </row>
    <row r="127" spans="1:25" outlineLevel="2" x14ac:dyDescent="0.25"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8"/>
      <c r="Y127" s="38"/>
    </row>
    <row r="128" spans="1:25" s="33" customFormat="1" outlineLevel="1" x14ac:dyDescent="0.25">
      <c r="A128" s="21">
        <v>5</v>
      </c>
      <c r="B128" s="32" t="s">
        <v>27</v>
      </c>
      <c r="E128" s="39">
        <f t="shared" ref="E128:R128" si="119">-SUM(E130:E131)</f>
        <v>0</v>
      </c>
      <c r="F128" s="39">
        <f t="shared" si="119"/>
        <v>0</v>
      </c>
      <c r="G128" s="39">
        <f t="shared" si="119"/>
        <v>0</v>
      </c>
      <c r="H128" s="39">
        <f t="shared" si="119"/>
        <v>0</v>
      </c>
      <c r="I128" s="39">
        <f t="shared" si="119"/>
        <v>0</v>
      </c>
      <c r="J128" s="39">
        <f t="shared" si="119"/>
        <v>0</v>
      </c>
      <c r="K128" s="39">
        <f t="shared" si="119"/>
        <v>0</v>
      </c>
      <c r="L128" s="39">
        <f t="shared" si="119"/>
        <v>0</v>
      </c>
      <c r="M128" s="39">
        <f t="shared" ref="M128" si="120">-SUM(M130:M131)</f>
        <v>0</v>
      </c>
      <c r="N128" s="39">
        <f t="shared" si="119"/>
        <v>0</v>
      </c>
      <c r="O128" s="39">
        <f t="shared" si="119"/>
        <v>0</v>
      </c>
      <c r="P128" s="39">
        <f t="shared" si="119"/>
        <v>0</v>
      </c>
      <c r="Q128" s="39">
        <f t="shared" si="119"/>
        <v>0</v>
      </c>
      <c r="R128" s="39">
        <f t="shared" si="119"/>
        <v>0</v>
      </c>
      <c r="S128" s="39">
        <f t="shared" ref="S128:W128" si="121">-SUM(S130:S131)</f>
        <v>0</v>
      </c>
      <c r="T128" s="39">
        <f t="shared" si="121"/>
        <v>0</v>
      </c>
      <c r="U128" s="39">
        <f t="shared" si="121"/>
        <v>0</v>
      </c>
      <c r="V128" s="39">
        <f t="shared" si="121"/>
        <v>0</v>
      </c>
      <c r="W128" s="39">
        <f t="shared" si="121"/>
        <v>0</v>
      </c>
      <c r="X128" s="40"/>
      <c r="Y128" s="40"/>
    </row>
    <row r="129" spans="1:25" outlineLevel="2" x14ac:dyDescent="0.25"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8"/>
      <c r="Y129" s="38"/>
    </row>
    <row r="130" spans="1:25" outlineLevel="2" x14ac:dyDescent="0.25">
      <c r="B130" s="1" t="s">
        <v>19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8"/>
      <c r="Y130" s="38"/>
    </row>
    <row r="131" spans="1:25" outlineLevel="2" x14ac:dyDescent="0.25">
      <c r="B131" s="1" t="s">
        <v>19</v>
      </c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8"/>
      <c r="Y131" s="38"/>
    </row>
    <row r="132" spans="1:25" outlineLevel="2" x14ac:dyDescent="0.25"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8"/>
      <c r="Y132" s="38"/>
    </row>
    <row r="133" spans="1:25" s="33" customFormat="1" outlineLevel="1" x14ac:dyDescent="0.25">
      <c r="A133" s="21">
        <v>6</v>
      </c>
      <c r="B133" s="32" t="s">
        <v>57</v>
      </c>
      <c r="E133" s="39">
        <f t="shared" ref="E133:V133" si="122">-SUM(E135:E138)</f>
        <v>-50</v>
      </c>
      <c r="F133" s="39">
        <f t="shared" si="122"/>
        <v>-50</v>
      </c>
      <c r="G133" s="39">
        <f t="shared" si="122"/>
        <v>-50</v>
      </c>
      <c r="H133" s="39">
        <f t="shared" si="122"/>
        <v>-459.76339999999999</v>
      </c>
      <c r="I133" s="39">
        <f t="shared" si="122"/>
        <v>-50</v>
      </c>
      <c r="J133" s="39">
        <f t="shared" si="122"/>
        <v>-50</v>
      </c>
      <c r="K133" s="39">
        <f t="shared" si="122"/>
        <v>-50</v>
      </c>
      <c r="L133" s="39">
        <f t="shared" si="122"/>
        <v>-50</v>
      </c>
      <c r="M133" s="39">
        <f t="shared" ref="M133" si="123">-SUM(M135:M138)</f>
        <v>-200</v>
      </c>
      <c r="N133" s="39">
        <f t="shared" si="122"/>
        <v>-50</v>
      </c>
      <c r="O133" s="39">
        <f t="shared" si="122"/>
        <v>-50</v>
      </c>
      <c r="P133" s="39">
        <f t="shared" si="122"/>
        <v>-50</v>
      </c>
      <c r="Q133" s="39">
        <f t="shared" si="122"/>
        <v>-50</v>
      </c>
      <c r="R133" s="39">
        <f t="shared" si="122"/>
        <v>-200</v>
      </c>
      <c r="S133" s="39">
        <f t="shared" si="122"/>
        <v>-50</v>
      </c>
      <c r="T133" s="39">
        <f t="shared" si="122"/>
        <v>-50</v>
      </c>
      <c r="U133" s="39">
        <f t="shared" si="122"/>
        <v>-50</v>
      </c>
      <c r="V133" s="39">
        <f t="shared" si="122"/>
        <v>-50</v>
      </c>
      <c r="W133" s="39">
        <f t="shared" ref="W133" si="124">-SUM(W135:W138)</f>
        <v>-200</v>
      </c>
      <c r="X133" s="40"/>
      <c r="Y133" s="40"/>
    </row>
    <row r="134" spans="1:25" outlineLevel="2" x14ac:dyDescent="0.25">
      <c r="B134" s="50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8"/>
      <c r="Y134" s="38"/>
    </row>
    <row r="135" spans="1:25" outlineLevel="2" x14ac:dyDescent="0.25">
      <c r="B135" s="1" t="s">
        <v>58</v>
      </c>
      <c r="E135" s="37">
        <v>50</v>
      </c>
      <c r="F135" s="37">
        <v>50</v>
      </c>
      <c r="G135" s="37">
        <v>50</v>
      </c>
      <c r="H135" s="37">
        <v>50</v>
      </c>
      <c r="I135" s="37">
        <v>50</v>
      </c>
      <c r="J135" s="37">
        <v>50</v>
      </c>
      <c r="K135" s="37">
        <v>50</v>
      </c>
      <c r="L135" s="37">
        <v>50</v>
      </c>
      <c r="M135" s="37">
        <f t="shared" ref="M135:M138" si="125">+SUM(I135:L135)</f>
        <v>200</v>
      </c>
      <c r="N135" s="37">
        <v>50</v>
      </c>
      <c r="O135" s="37">
        <v>50</v>
      </c>
      <c r="P135" s="37">
        <v>50</v>
      </c>
      <c r="Q135" s="37">
        <v>50</v>
      </c>
      <c r="R135" s="37">
        <f t="shared" ref="R135:R138" si="126">+SUM(N135:Q135)</f>
        <v>200</v>
      </c>
      <c r="S135" s="37">
        <v>50</v>
      </c>
      <c r="T135" s="37">
        <v>50</v>
      </c>
      <c r="U135" s="37">
        <v>50</v>
      </c>
      <c r="V135" s="37">
        <v>50</v>
      </c>
      <c r="W135" s="37">
        <f t="shared" ref="W135:W138" si="127">+SUM(S135:V135)</f>
        <v>200</v>
      </c>
      <c r="X135" s="38"/>
      <c r="Y135" s="38"/>
    </row>
    <row r="136" spans="1:25" outlineLevel="2" x14ac:dyDescent="0.25">
      <c r="B136" s="1" t="s">
        <v>19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f t="shared" si="125"/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f t="shared" si="126"/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f t="shared" si="127"/>
        <v>0</v>
      </c>
      <c r="X136" s="38"/>
      <c r="Y136" s="38"/>
    </row>
    <row r="137" spans="1:25" outlineLevel="2" x14ac:dyDescent="0.25">
      <c r="B137" s="1" t="s">
        <v>19</v>
      </c>
      <c r="E137" s="37">
        <v>0</v>
      </c>
      <c r="F137" s="37">
        <v>0</v>
      </c>
      <c r="G137" s="37">
        <v>0</v>
      </c>
      <c r="H137" s="37">
        <f t="shared" ref="H137" si="128">29.99*1.22*3</f>
        <v>109.76339999999999</v>
      </c>
      <c r="I137" s="37">
        <v>0</v>
      </c>
      <c r="J137" s="37">
        <v>0</v>
      </c>
      <c r="K137" s="37">
        <v>0</v>
      </c>
      <c r="L137" s="37">
        <v>0</v>
      </c>
      <c r="M137" s="37">
        <f t="shared" si="125"/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f t="shared" si="126"/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f t="shared" si="127"/>
        <v>0</v>
      </c>
      <c r="X137" s="38"/>
      <c r="Y137" s="38"/>
    </row>
    <row r="138" spans="1:25" outlineLevel="2" x14ac:dyDescent="0.25">
      <c r="B138" s="1" t="s">
        <v>19</v>
      </c>
      <c r="E138" s="37">
        <v>0</v>
      </c>
      <c r="F138" s="37">
        <v>0</v>
      </c>
      <c r="G138" s="37">
        <v>0</v>
      </c>
      <c r="H138" s="37">
        <v>300</v>
      </c>
      <c r="I138" s="37">
        <v>0</v>
      </c>
      <c r="J138" s="37">
        <v>0</v>
      </c>
      <c r="K138" s="37">
        <v>0</v>
      </c>
      <c r="L138" s="37">
        <v>0</v>
      </c>
      <c r="M138" s="37">
        <f t="shared" si="125"/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f t="shared" si="126"/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f t="shared" si="127"/>
        <v>0</v>
      </c>
      <c r="X138" s="38"/>
      <c r="Y138" s="38"/>
    </row>
    <row r="139" spans="1:25" outlineLevel="2" x14ac:dyDescent="0.25"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8"/>
      <c r="Y139" s="38"/>
    </row>
    <row r="140" spans="1:25" outlineLevel="2" x14ac:dyDescent="0.25"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8"/>
      <c r="Y140" s="38"/>
    </row>
    <row r="141" spans="1:25" s="33" customFormat="1" outlineLevel="1" x14ac:dyDescent="0.25">
      <c r="A141" s="21">
        <v>7</v>
      </c>
      <c r="B141" s="32" t="s">
        <v>28</v>
      </c>
      <c r="E141" s="39">
        <f>-SUM(E143:E151)</f>
        <v>0</v>
      </c>
      <c r="F141" s="39">
        <f t="shared" ref="F141:R141" si="129">-SUM(F143:F151)</f>
        <v>0</v>
      </c>
      <c r="G141" s="39">
        <f t="shared" si="129"/>
        <v>0</v>
      </c>
      <c r="H141" s="39">
        <f t="shared" si="129"/>
        <v>0</v>
      </c>
      <c r="I141" s="39">
        <f t="shared" si="129"/>
        <v>0</v>
      </c>
      <c r="J141" s="39">
        <f t="shared" si="129"/>
        <v>0</v>
      </c>
      <c r="K141" s="39">
        <f t="shared" si="129"/>
        <v>0</v>
      </c>
      <c r="L141" s="39">
        <f t="shared" si="129"/>
        <v>0</v>
      </c>
      <c r="M141" s="39">
        <f t="shared" ref="M141" si="130">-SUM(M143:M151)</f>
        <v>0</v>
      </c>
      <c r="N141" s="39">
        <f t="shared" si="129"/>
        <v>0</v>
      </c>
      <c r="O141" s="39">
        <f t="shared" si="129"/>
        <v>0</v>
      </c>
      <c r="P141" s="39">
        <f t="shared" si="129"/>
        <v>0</v>
      </c>
      <c r="Q141" s="39">
        <f t="shared" si="129"/>
        <v>0</v>
      </c>
      <c r="R141" s="39">
        <f t="shared" si="129"/>
        <v>0</v>
      </c>
      <c r="S141" s="39">
        <f t="shared" ref="S141:V141" si="131">-SUM(S143:S151)</f>
        <v>0</v>
      </c>
      <c r="T141" s="39">
        <f t="shared" si="131"/>
        <v>0</v>
      </c>
      <c r="U141" s="39">
        <f t="shared" si="131"/>
        <v>0</v>
      </c>
      <c r="V141" s="39">
        <f t="shared" si="131"/>
        <v>0</v>
      </c>
      <c r="W141" s="39">
        <f t="shared" ref="W141" si="132">-SUM(W143:W151)</f>
        <v>0</v>
      </c>
      <c r="X141" s="40"/>
      <c r="Y141" s="40"/>
    </row>
    <row r="142" spans="1:25" outlineLevel="2" x14ac:dyDescent="0.25"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8"/>
      <c r="Y142" s="38"/>
    </row>
    <row r="143" spans="1:25" outlineLevel="2" x14ac:dyDescent="0.25">
      <c r="B143" s="1" t="s">
        <v>19</v>
      </c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8"/>
      <c r="Y143" s="38"/>
    </row>
    <row r="144" spans="1:25" outlineLevel="2" x14ac:dyDescent="0.25">
      <c r="B144" s="1" t="s">
        <v>19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8"/>
      <c r="Y144" s="38"/>
    </row>
    <row r="145" spans="1:25" outlineLevel="2" x14ac:dyDescent="0.25">
      <c r="B145" s="1" t="s">
        <v>19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8"/>
      <c r="Y145" s="38"/>
    </row>
    <row r="146" spans="1:25" outlineLevel="2" x14ac:dyDescent="0.25">
      <c r="B146" s="1" t="s">
        <v>19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8"/>
      <c r="Y146" s="38"/>
    </row>
    <row r="147" spans="1:25" outlineLevel="2" x14ac:dyDescent="0.25">
      <c r="B147" s="1" t="s">
        <v>19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8"/>
      <c r="Y147" s="38"/>
    </row>
    <row r="148" spans="1:25" outlineLevel="2" x14ac:dyDescent="0.25">
      <c r="B148" s="1" t="s">
        <v>19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8"/>
      <c r="Y148" s="38"/>
    </row>
    <row r="149" spans="1:25" outlineLevel="2" x14ac:dyDescent="0.25">
      <c r="B149" s="1" t="s">
        <v>19</v>
      </c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8"/>
      <c r="Y149" s="38"/>
    </row>
    <row r="150" spans="1:25" outlineLevel="2" x14ac:dyDescent="0.25">
      <c r="B150" s="1" t="s">
        <v>19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8"/>
      <c r="Y150" s="38"/>
    </row>
    <row r="151" spans="1:25" outlineLevel="2" x14ac:dyDescent="0.25">
      <c r="B151" s="1" t="s">
        <v>19</v>
      </c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8"/>
      <c r="Y151" s="38"/>
    </row>
    <row r="152" spans="1:25" outlineLevel="2" x14ac:dyDescent="0.25"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8"/>
      <c r="Y152" s="38"/>
    </row>
    <row r="153" spans="1:25" s="33" customFormat="1" outlineLevel="1" x14ac:dyDescent="0.25">
      <c r="A153" s="21">
        <v>8</v>
      </c>
      <c r="B153" s="32" t="s">
        <v>26</v>
      </c>
      <c r="E153" s="39">
        <f t="shared" ref="E153:R153" si="133">-SUM(E155:E158)</f>
        <v>-504.75549999999998</v>
      </c>
      <c r="F153" s="39">
        <f t="shared" si="133"/>
        <v>-504.75549999999998</v>
      </c>
      <c r="G153" s="39">
        <f t="shared" si="133"/>
        <v>-504.75549999999998</v>
      </c>
      <c r="H153" s="39">
        <f t="shared" si="133"/>
        <v>-504.75549999999998</v>
      </c>
      <c r="I153" s="39">
        <f t="shared" si="133"/>
        <v>-504.75549999999998</v>
      </c>
      <c r="J153" s="39">
        <f t="shared" si="133"/>
        <v>-504.75549999999998</v>
      </c>
      <c r="K153" s="39">
        <f t="shared" si="133"/>
        <v>-40504.755499999999</v>
      </c>
      <c r="L153" s="39">
        <f t="shared" si="133"/>
        <v>-40504.755499999999</v>
      </c>
      <c r="M153" s="39">
        <f t="shared" ref="M153" si="134">-SUM(M155:M158)</f>
        <v>-82019.021999999997</v>
      </c>
      <c r="N153" s="39">
        <f t="shared" si="133"/>
        <v>-44790.469785714282</v>
      </c>
      <c r="O153" s="39">
        <f t="shared" si="133"/>
        <v>-44790.469785714282</v>
      </c>
      <c r="P153" s="39">
        <f t="shared" si="133"/>
        <v>-44790.469785714282</v>
      </c>
      <c r="Q153" s="39">
        <f t="shared" si="133"/>
        <v>-48323.758285714284</v>
      </c>
      <c r="R153" s="39">
        <f t="shared" si="133"/>
        <v>-182695.16764285712</v>
      </c>
      <c r="S153" s="39">
        <f>-SUM(S155:S158)</f>
        <v>-44285.714285714283</v>
      </c>
      <c r="T153" s="39">
        <f t="shared" ref="T153:W153" si="135">-SUM(T155:T158)</f>
        <v>-44285.714285714283</v>
      </c>
      <c r="U153" s="39">
        <f t="shared" si="135"/>
        <v>-44285.714285714283</v>
      </c>
      <c r="V153" s="39">
        <f t="shared" si="135"/>
        <v>-44285.714285714283</v>
      </c>
      <c r="W153" s="39">
        <f t="shared" si="135"/>
        <v>-177142.85714285713</v>
      </c>
      <c r="X153" s="40"/>
      <c r="Y153" s="40"/>
    </row>
    <row r="154" spans="1:25" outlineLevel="2" x14ac:dyDescent="0.25"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8"/>
      <c r="Y154" s="38"/>
    </row>
    <row r="155" spans="1:25" outlineLevel="2" x14ac:dyDescent="0.25">
      <c r="B155" s="1" t="s">
        <v>66</v>
      </c>
      <c r="E155" s="37">
        <f t="shared" ref="E155:P155" si="136">(10095.11/60)*3</f>
        <v>504.75549999999998</v>
      </c>
      <c r="F155" s="37">
        <f t="shared" si="136"/>
        <v>504.75549999999998</v>
      </c>
      <c r="G155" s="37">
        <f t="shared" si="136"/>
        <v>504.75549999999998</v>
      </c>
      <c r="H155" s="37">
        <f t="shared" si="136"/>
        <v>504.75549999999998</v>
      </c>
      <c r="I155" s="37">
        <f t="shared" si="136"/>
        <v>504.75549999999998</v>
      </c>
      <c r="J155" s="37">
        <f t="shared" si="136"/>
        <v>504.75549999999998</v>
      </c>
      <c r="K155" s="37">
        <f t="shared" si="136"/>
        <v>504.75549999999998</v>
      </c>
      <c r="L155" s="37">
        <f t="shared" si="136"/>
        <v>504.75549999999998</v>
      </c>
      <c r="M155" s="37">
        <f t="shared" ref="M155:M158" si="137">+SUM(I155:L155)</f>
        <v>2019.0219999999999</v>
      </c>
      <c r="N155" s="37">
        <f t="shared" si="136"/>
        <v>504.75549999999998</v>
      </c>
      <c r="O155" s="37">
        <f t="shared" si="136"/>
        <v>504.75549999999998</v>
      </c>
      <c r="P155" s="37">
        <f t="shared" si="136"/>
        <v>504.75549999999998</v>
      </c>
      <c r="Q155" s="37">
        <f>(10095.11/60)*24</f>
        <v>4038.0439999999999</v>
      </c>
      <c r="R155" s="37">
        <f t="shared" ref="R155:R158" si="138">+SUM(N155:Q155)</f>
        <v>5552.3104999999996</v>
      </c>
      <c r="S155" s="37">
        <v>0</v>
      </c>
      <c r="T155" s="37">
        <v>0</v>
      </c>
      <c r="U155" s="37">
        <v>0</v>
      </c>
      <c r="V155" s="37">
        <v>0</v>
      </c>
      <c r="W155" s="37">
        <f t="shared" ref="W155:W158" si="139">+SUM(S155:V155)</f>
        <v>0</v>
      </c>
      <c r="X155" s="38"/>
      <c r="Y155" s="38"/>
    </row>
    <row r="156" spans="1:25" outlineLevel="2" x14ac:dyDescent="0.25">
      <c r="B156" s="46" t="s">
        <v>82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47">
        <f t="shared" ref="K156:V156" si="140">800000/20</f>
        <v>40000</v>
      </c>
      <c r="L156" s="37">
        <f t="shared" si="140"/>
        <v>40000</v>
      </c>
      <c r="M156" s="37">
        <f t="shared" si="137"/>
        <v>80000</v>
      </c>
      <c r="N156" s="37">
        <f t="shared" si="140"/>
        <v>40000</v>
      </c>
      <c r="O156" s="37">
        <f t="shared" si="140"/>
        <v>40000</v>
      </c>
      <c r="P156" s="37">
        <f t="shared" si="140"/>
        <v>40000</v>
      </c>
      <c r="Q156" s="37">
        <f t="shared" si="140"/>
        <v>40000</v>
      </c>
      <c r="R156" s="37">
        <f t="shared" si="138"/>
        <v>160000</v>
      </c>
      <c r="S156" s="37">
        <f t="shared" si="140"/>
        <v>40000</v>
      </c>
      <c r="T156" s="37">
        <f t="shared" si="140"/>
        <v>40000</v>
      </c>
      <c r="U156" s="37">
        <f t="shared" si="140"/>
        <v>40000</v>
      </c>
      <c r="V156" s="37">
        <f t="shared" si="140"/>
        <v>40000</v>
      </c>
      <c r="W156" s="37">
        <f t="shared" si="139"/>
        <v>160000</v>
      </c>
      <c r="X156" s="38"/>
      <c r="Y156" s="38"/>
    </row>
    <row r="157" spans="1:25" outlineLevel="2" x14ac:dyDescent="0.25">
      <c r="B157" s="46" t="s">
        <v>83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f t="shared" si="137"/>
        <v>0</v>
      </c>
      <c r="N157" s="37">
        <f>50000/20</f>
        <v>2500</v>
      </c>
      <c r="O157" s="37">
        <f t="shared" ref="O157:V157" si="141">50000/20</f>
        <v>2500</v>
      </c>
      <c r="P157" s="37">
        <f t="shared" si="141"/>
        <v>2500</v>
      </c>
      <c r="Q157" s="37">
        <f t="shared" si="141"/>
        <v>2500</v>
      </c>
      <c r="R157" s="37">
        <f t="shared" si="138"/>
        <v>10000</v>
      </c>
      <c r="S157" s="37">
        <f t="shared" si="141"/>
        <v>2500</v>
      </c>
      <c r="T157" s="37">
        <f t="shared" si="141"/>
        <v>2500</v>
      </c>
      <c r="U157" s="37">
        <f t="shared" si="141"/>
        <v>2500</v>
      </c>
      <c r="V157" s="37">
        <f t="shared" si="141"/>
        <v>2500</v>
      </c>
      <c r="W157" s="37">
        <f t="shared" si="139"/>
        <v>10000</v>
      </c>
      <c r="X157" s="38"/>
      <c r="Y157" s="38"/>
    </row>
    <row r="158" spans="1:25" outlineLevel="2" x14ac:dyDescent="0.25">
      <c r="B158" s="1" t="s">
        <v>84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f t="shared" si="137"/>
        <v>0</v>
      </c>
      <c r="N158" s="37">
        <f>50000/28</f>
        <v>1785.7142857142858</v>
      </c>
      <c r="O158" s="37">
        <f t="shared" ref="O158:V158" si="142">50000/28</f>
        <v>1785.7142857142858</v>
      </c>
      <c r="P158" s="37">
        <f t="shared" si="142"/>
        <v>1785.7142857142858</v>
      </c>
      <c r="Q158" s="37">
        <f t="shared" si="142"/>
        <v>1785.7142857142858</v>
      </c>
      <c r="R158" s="37">
        <f t="shared" si="138"/>
        <v>7142.8571428571431</v>
      </c>
      <c r="S158" s="37">
        <f t="shared" si="142"/>
        <v>1785.7142857142858</v>
      </c>
      <c r="T158" s="37">
        <f t="shared" si="142"/>
        <v>1785.7142857142858</v>
      </c>
      <c r="U158" s="37">
        <f t="shared" si="142"/>
        <v>1785.7142857142858</v>
      </c>
      <c r="V158" s="37">
        <f t="shared" si="142"/>
        <v>1785.7142857142858</v>
      </c>
      <c r="W158" s="37">
        <f t="shared" si="139"/>
        <v>7142.8571428571431</v>
      </c>
      <c r="X158" s="38"/>
      <c r="Y158" s="38"/>
    </row>
    <row r="159" spans="1:25" outlineLevel="2" x14ac:dyDescent="0.25"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8"/>
      <c r="Y159" s="38"/>
    </row>
    <row r="160" spans="1:25" s="33" customFormat="1" outlineLevel="1" x14ac:dyDescent="0.25">
      <c r="A160" s="21">
        <v>9</v>
      </c>
      <c r="B160" s="32" t="s">
        <v>64</v>
      </c>
      <c r="E160" s="39">
        <f t="shared" ref="E160:V160" si="143">-SUM(E162:E162)</f>
        <v>0</v>
      </c>
      <c r="F160" s="39">
        <f t="shared" si="143"/>
        <v>0</v>
      </c>
      <c r="G160" s="39">
        <f t="shared" si="143"/>
        <v>-6200</v>
      </c>
      <c r="H160" s="39">
        <f t="shared" si="143"/>
        <v>0</v>
      </c>
      <c r="I160" s="39">
        <f t="shared" si="143"/>
        <v>-75000</v>
      </c>
      <c r="J160" s="39">
        <f t="shared" si="143"/>
        <v>-75000</v>
      </c>
      <c r="K160" s="39">
        <f t="shared" si="143"/>
        <v>-75000</v>
      </c>
      <c r="L160" s="39">
        <f t="shared" si="143"/>
        <v>-75000</v>
      </c>
      <c r="M160" s="39">
        <f t="shared" ref="M160" si="144">-SUM(M162:M162)</f>
        <v>-300000</v>
      </c>
      <c r="N160" s="39">
        <f t="shared" si="143"/>
        <v>-75000</v>
      </c>
      <c r="O160" s="39">
        <f t="shared" si="143"/>
        <v>-75000</v>
      </c>
      <c r="P160" s="39">
        <f t="shared" si="143"/>
        <v>-75000</v>
      </c>
      <c r="Q160" s="39">
        <f t="shared" si="143"/>
        <v>-75000</v>
      </c>
      <c r="R160" s="39">
        <f t="shared" si="143"/>
        <v>-300000</v>
      </c>
      <c r="S160" s="39">
        <f t="shared" si="143"/>
        <v>0</v>
      </c>
      <c r="T160" s="39">
        <f t="shared" si="143"/>
        <v>0</v>
      </c>
      <c r="U160" s="39">
        <f t="shared" si="143"/>
        <v>0</v>
      </c>
      <c r="V160" s="39">
        <f t="shared" si="143"/>
        <v>0</v>
      </c>
      <c r="W160" s="39">
        <f t="shared" ref="W160" si="145">-SUM(W162:W162)</f>
        <v>0</v>
      </c>
      <c r="X160" s="40"/>
      <c r="Y160" s="40"/>
    </row>
    <row r="161" spans="1:25" outlineLevel="2" x14ac:dyDescent="0.25"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8"/>
      <c r="Y161" s="38"/>
    </row>
    <row r="162" spans="1:25" outlineLevel="2" x14ac:dyDescent="0.25">
      <c r="B162" s="1" t="s">
        <v>73</v>
      </c>
      <c r="E162" s="37">
        <v>0</v>
      </c>
      <c r="F162" s="37">
        <v>0</v>
      </c>
      <c r="G162" s="37">
        <v>6200</v>
      </c>
      <c r="H162" s="37">
        <v>0</v>
      </c>
      <c r="I162" s="37">
        <f>300000/4</f>
        <v>75000</v>
      </c>
      <c r="J162" s="37">
        <f t="shared" ref="J162:L162" si="146">300000/4</f>
        <v>75000</v>
      </c>
      <c r="K162" s="37">
        <f t="shared" si="146"/>
        <v>75000</v>
      </c>
      <c r="L162" s="37">
        <f t="shared" si="146"/>
        <v>75000</v>
      </c>
      <c r="M162" s="37">
        <f t="shared" ref="M162" si="147">+SUM(I162:L162)</f>
        <v>300000</v>
      </c>
      <c r="N162" s="37">
        <f>300000/4</f>
        <v>75000</v>
      </c>
      <c r="O162" s="37">
        <f t="shared" ref="O162:Q162" si="148">300000/4</f>
        <v>75000</v>
      </c>
      <c r="P162" s="37">
        <f t="shared" si="148"/>
        <v>75000</v>
      </c>
      <c r="Q162" s="37">
        <f t="shared" si="148"/>
        <v>75000</v>
      </c>
      <c r="R162" s="37">
        <f t="shared" ref="R162" si="149">+SUM(N162:Q162)</f>
        <v>300000</v>
      </c>
      <c r="S162" s="37">
        <v>0</v>
      </c>
      <c r="T162" s="37">
        <v>0</v>
      </c>
      <c r="U162" s="37">
        <v>0</v>
      </c>
      <c r="V162" s="37">
        <v>0</v>
      </c>
      <c r="W162" s="37">
        <f t="shared" ref="W162" si="150">+SUM(S162:V162)</f>
        <v>0</v>
      </c>
      <c r="X162" s="38"/>
      <c r="Y162" s="38"/>
    </row>
    <row r="163" spans="1:25" outlineLevel="2" x14ac:dyDescent="0.25"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8"/>
      <c r="Y163" s="38"/>
    </row>
    <row r="164" spans="1:25" s="24" customFormat="1" outlineLevel="2" x14ac:dyDescent="0.25">
      <c r="A164" s="21">
        <v>10</v>
      </c>
      <c r="B164" s="32" t="s">
        <v>91</v>
      </c>
      <c r="E164" s="39">
        <f>-SUM(E166)</f>
        <v>0</v>
      </c>
      <c r="F164" s="39">
        <f t="shared" ref="F164:V164" si="151">-SUM(F166)</f>
        <v>0</v>
      </c>
      <c r="G164" s="39">
        <f t="shared" si="151"/>
        <v>0</v>
      </c>
      <c r="H164" s="39">
        <f t="shared" si="151"/>
        <v>-2684.87</v>
      </c>
      <c r="I164" s="39">
        <f t="shared" si="151"/>
        <v>0</v>
      </c>
      <c r="J164" s="39">
        <f t="shared" si="151"/>
        <v>0</v>
      </c>
      <c r="K164" s="39">
        <f t="shared" si="151"/>
        <v>0</v>
      </c>
      <c r="L164" s="39">
        <f t="shared" si="151"/>
        <v>-2684.87</v>
      </c>
      <c r="M164" s="39">
        <f t="shared" ref="M164" si="152">-SUM(M166)</f>
        <v>-2684.87</v>
      </c>
      <c r="N164" s="39">
        <f t="shared" si="151"/>
        <v>0</v>
      </c>
      <c r="O164" s="39">
        <f t="shared" si="151"/>
        <v>0</v>
      </c>
      <c r="P164" s="39">
        <f t="shared" si="151"/>
        <v>0</v>
      </c>
      <c r="Q164" s="39">
        <f t="shared" si="151"/>
        <v>-10900.17</v>
      </c>
      <c r="R164" s="39">
        <f t="shared" si="151"/>
        <v>-10900.17</v>
      </c>
      <c r="S164" s="39">
        <f t="shared" si="151"/>
        <v>0</v>
      </c>
      <c r="T164" s="39">
        <f t="shared" si="151"/>
        <v>0</v>
      </c>
      <c r="U164" s="39">
        <f t="shared" si="151"/>
        <v>0</v>
      </c>
      <c r="V164" s="39">
        <f t="shared" si="151"/>
        <v>-9570.2900000000009</v>
      </c>
      <c r="W164" s="39">
        <f t="shared" ref="W164" si="153">-SUM(W166)</f>
        <v>-9570.2900000000009</v>
      </c>
      <c r="X164" s="40"/>
      <c r="Y164" s="40"/>
    </row>
    <row r="165" spans="1:25" outlineLevel="2" x14ac:dyDescent="0.25"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8"/>
      <c r="Y165" s="38"/>
    </row>
    <row r="166" spans="1:25" x14ac:dyDescent="0.25">
      <c r="A166" s="61"/>
      <c r="B166" s="1" t="s">
        <v>92</v>
      </c>
      <c r="E166" s="37">
        <v>0</v>
      </c>
      <c r="F166" s="37">
        <v>0</v>
      </c>
      <c r="G166" s="37">
        <v>0</v>
      </c>
      <c r="H166" s="37">
        <v>2684.87</v>
      </c>
      <c r="I166" s="37"/>
      <c r="J166" s="37"/>
      <c r="K166" s="37"/>
      <c r="L166" s="37">
        <v>2684.87</v>
      </c>
      <c r="M166" s="37">
        <f t="shared" ref="M166" si="154">+SUM(I166:L166)</f>
        <v>2684.87</v>
      </c>
      <c r="N166" s="37">
        <v>0</v>
      </c>
      <c r="O166" s="37">
        <v>0</v>
      </c>
      <c r="P166" s="37">
        <v>0</v>
      </c>
      <c r="Q166" s="37">
        <v>10900.17</v>
      </c>
      <c r="R166" s="37">
        <f t="shared" ref="R166" si="155">+SUM(N166:Q166)</f>
        <v>10900.17</v>
      </c>
      <c r="S166" s="37">
        <v>0</v>
      </c>
      <c r="T166" s="37">
        <v>0</v>
      </c>
      <c r="U166" s="37">
        <v>0</v>
      </c>
      <c r="V166" s="37">
        <v>9570.2900000000009</v>
      </c>
      <c r="W166" s="37">
        <f t="shared" ref="W166" si="156">+SUM(S166:V166)</f>
        <v>9570.2900000000009</v>
      </c>
      <c r="X166" s="38"/>
      <c r="Y166" s="38"/>
    </row>
    <row r="167" spans="1:25" outlineLevel="2" x14ac:dyDescent="0.25"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8"/>
      <c r="Y167" s="38"/>
    </row>
    <row r="168" spans="1:25" s="26" customFormat="1" x14ac:dyDescent="0.25">
      <c r="A168" s="25"/>
      <c r="B168" s="19" t="s">
        <v>93</v>
      </c>
      <c r="E168" s="41">
        <f t="shared" ref="E168:V168" si="157">E92+E96+E117+E121+E128+E133+E141+E153+E160+E164</f>
        <v>-67726.355500000005</v>
      </c>
      <c r="F168" s="41">
        <f t="shared" si="157"/>
        <v>-35551.345499999996</v>
      </c>
      <c r="G168" s="41">
        <f t="shared" si="157"/>
        <v>-54434.845500000003</v>
      </c>
      <c r="H168" s="41">
        <f t="shared" si="157"/>
        <v>-110866.55889999999</v>
      </c>
      <c r="I168" s="41">
        <f t="shared" si="157"/>
        <v>-691576.93924999994</v>
      </c>
      <c r="J168" s="41">
        <f t="shared" si="157"/>
        <v>-691576.93924999994</v>
      </c>
      <c r="K168" s="41">
        <f t="shared" si="157"/>
        <v>-691576.93924999994</v>
      </c>
      <c r="L168" s="41">
        <f t="shared" si="157"/>
        <v>-691576.93924999994</v>
      </c>
      <c r="M168" s="41">
        <f t="shared" ref="M168" si="158">M92+M96+M117+M121+M128+M133+M141+M153+M160+M164</f>
        <v>-2766307.7569999998</v>
      </c>
      <c r="N168" s="41">
        <f t="shared" si="157"/>
        <v>-973347.39825000009</v>
      </c>
      <c r="O168" s="41">
        <f t="shared" si="157"/>
        <v>-973347.39824999997</v>
      </c>
      <c r="P168" s="41">
        <f t="shared" si="157"/>
        <v>-973347.39824999997</v>
      </c>
      <c r="Q168" s="41">
        <f t="shared" si="157"/>
        <v>-973347.39825000009</v>
      </c>
      <c r="R168" s="41">
        <f t="shared" si="157"/>
        <v>-3893389.5929999994</v>
      </c>
      <c r="S168" s="41">
        <f t="shared" si="157"/>
        <v>-151490.47768571429</v>
      </c>
      <c r="T168" s="41">
        <f t="shared" si="157"/>
        <v>-79815.477685714286</v>
      </c>
      <c r="U168" s="41">
        <f t="shared" si="157"/>
        <v>-79815.477685714286</v>
      </c>
      <c r="V168" s="41">
        <f t="shared" si="157"/>
        <v>-109686.56768571428</v>
      </c>
      <c r="W168" s="41">
        <f t="shared" ref="W168" si="159">W92+W96+W117+W121+W128+W133+W141+W153+W160+W164</f>
        <v>-420808.00074285711</v>
      </c>
      <c r="X168" s="42"/>
      <c r="Y168" s="42"/>
    </row>
    <row r="169" spans="1:25" x14ac:dyDescent="0.25"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62"/>
      <c r="V169" s="62"/>
      <c r="W169" s="48"/>
      <c r="X169" s="38"/>
      <c r="Y169" s="38"/>
    </row>
    <row r="170" spans="1:25" ht="15.6" x14ac:dyDescent="0.3">
      <c r="B170" s="28" t="s">
        <v>29</v>
      </c>
      <c r="C170" s="48"/>
      <c r="D170" s="48"/>
      <c r="E170" s="43">
        <f t="shared" ref="E170:V170" si="160">+E88+E168</f>
        <v>32273.644499999995</v>
      </c>
      <c r="F170" s="43">
        <f t="shared" si="160"/>
        <v>74448.654500000004</v>
      </c>
      <c r="G170" s="43">
        <f t="shared" si="160"/>
        <v>893293.3544999999</v>
      </c>
      <c r="H170" s="43">
        <f t="shared" si="160"/>
        <v>598009.14110000001</v>
      </c>
      <c r="I170" s="43">
        <f t="shared" si="160"/>
        <v>-128036.02124999999</v>
      </c>
      <c r="J170" s="43">
        <f t="shared" si="160"/>
        <v>-128036.02124999999</v>
      </c>
      <c r="K170" s="43">
        <f t="shared" si="160"/>
        <v>-128036.02124999999</v>
      </c>
      <c r="L170" s="72">
        <f t="shared" si="160"/>
        <v>491963.97875000013</v>
      </c>
      <c r="M170" s="79">
        <f t="shared" ref="M170" si="161">+M88+M168</f>
        <v>107855.91500000004</v>
      </c>
      <c r="N170" s="43">
        <f t="shared" si="160"/>
        <v>-128036.02125000011</v>
      </c>
      <c r="O170" s="43">
        <f t="shared" si="160"/>
        <v>-128036.02124999999</v>
      </c>
      <c r="P170" s="43">
        <f t="shared" si="160"/>
        <v>-128036.02124999999</v>
      </c>
      <c r="Q170" s="43">
        <f t="shared" si="160"/>
        <v>-128036.02125000011</v>
      </c>
      <c r="R170" s="79">
        <f t="shared" si="160"/>
        <v>-512144.0849999995</v>
      </c>
      <c r="S170" s="43">
        <f t="shared" si="160"/>
        <v>-151490.47768571429</v>
      </c>
      <c r="T170" s="43">
        <f t="shared" si="160"/>
        <v>-79815.477685714286</v>
      </c>
      <c r="U170" s="43">
        <f t="shared" si="160"/>
        <v>-79815.477685714286</v>
      </c>
      <c r="V170" s="43">
        <f t="shared" si="160"/>
        <v>-109686.56768571428</v>
      </c>
      <c r="W170" s="79">
        <f t="shared" ref="W170" si="162">+W88+W168</f>
        <v>-420808.00074285711</v>
      </c>
      <c r="X170" s="38"/>
      <c r="Y170" s="38"/>
    </row>
    <row r="171" spans="1:25" x14ac:dyDescent="0.25"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8"/>
      <c r="Y171" s="38"/>
    </row>
    <row r="173" spans="1:25" ht="15.6" x14ac:dyDescent="0.3">
      <c r="B173" s="28" t="s">
        <v>85</v>
      </c>
      <c r="C173" s="48"/>
      <c r="D173" s="48"/>
      <c r="E173" s="57"/>
      <c r="F173" s="57"/>
      <c r="G173" s="57"/>
      <c r="H173" s="57"/>
      <c r="I173" s="57">
        <f>I170-620000+824288.17</f>
        <v>76252.148750000051</v>
      </c>
      <c r="J173" s="57">
        <f t="shared" ref="J173:Q173" si="163">J170+I173</f>
        <v>-51783.872499999939</v>
      </c>
      <c r="K173" s="57">
        <f t="shared" si="163"/>
        <v>-179819.89374999993</v>
      </c>
      <c r="L173" s="57">
        <f t="shared" si="163"/>
        <v>312144.0850000002</v>
      </c>
      <c r="M173" s="57">
        <f>+L173</f>
        <v>312144.0850000002</v>
      </c>
      <c r="N173" s="57">
        <f>N170+L173</f>
        <v>184108.06375000009</v>
      </c>
      <c r="O173" s="57">
        <f t="shared" si="163"/>
        <v>56072.042500000098</v>
      </c>
      <c r="P173" s="57">
        <f t="shared" si="163"/>
        <v>-71963.978749999893</v>
      </c>
      <c r="Q173" s="57">
        <f t="shared" si="163"/>
        <v>-200000</v>
      </c>
      <c r="R173" s="57">
        <f>+Q173</f>
        <v>-200000</v>
      </c>
      <c r="S173" s="57">
        <f>S170+Q173</f>
        <v>-351490.47768571426</v>
      </c>
      <c r="T173" s="57">
        <f t="shared" ref="T173" si="164">T170+S173</f>
        <v>-431305.95537142851</v>
      </c>
      <c r="U173" s="57">
        <f t="shared" ref="U173" si="165">U170+T173</f>
        <v>-511121.43305714277</v>
      </c>
      <c r="V173" s="57">
        <f t="shared" ref="V173" si="166">V170+U173</f>
        <v>-620808.00074285711</v>
      </c>
      <c r="W173" s="57">
        <f>+V173</f>
        <v>-620808.00074285711</v>
      </c>
      <c r="X173" s="38"/>
      <c r="Y173" s="38"/>
    </row>
    <row r="174" spans="1:25" x14ac:dyDescent="0.25"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8"/>
      <c r="Y174" s="38"/>
    </row>
    <row r="175" spans="1:25" s="24" customFormat="1" x14ac:dyDescent="0.25">
      <c r="A175" s="21">
        <v>11</v>
      </c>
      <c r="B175" s="32" t="s">
        <v>87</v>
      </c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40"/>
      <c r="Y175" s="40"/>
    </row>
    <row r="176" spans="1:25" ht="13.8" thickBot="1" x14ac:dyDescent="0.3">
      <c r="A176" s="61"/>
      <c r="B176" s="63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8"/>
      <c r="Y176" s="38"/>
    </row>
    <row r="177" spans="1:25" outlineLevel="2" x14ac:dyDescent="0.25">
      <c r="A177" s="61"/>
      <c r="B177" s="64" t="s">
        <v>89</v>
      </c>
      <c r="C177" s="65"/>
      <c r="D177" s="65"/>
      <c r="E177" s="66">
        <v>0</v>
      </c>
      <c r="F177" s="66">
        <v>0</v>
      </c>
      <c r="G177" s="66">
        <v>6322520.79</v>
      </c>
      <c r="H177" s="66">
        <v>22946815.870000001</v>
      </c>
      <c r="I177" s="66">
        <f>(111755044.44-29269336.66)*0.4/4</f>
        <v>8248570.7780000009</v>
      </c>
      <c r="J177" s="66">
        <f t="shared" ref="J177:M177" si="167">(111755044.44-29269336.66)*0.4/4</f>
        <v>8248570.7780000009</v>
      </c>
      <c r="K177" s="66">
        <f t="shared" si="167"/>
        <v>8248570.7780000009</v>
      </c>
      <c r="L177" s="66">
        <f t="shared" si="167"/>
        <v>8248570.7780000009</v>
      </c>
      <c r="M177" s="66">
        <f t="shared" si="167"/>
        <v>8248570.7780000009</v>
      </c>
      <c r="N177" s="66">
        <f>(111755044.44-29269336.66)*0.6/4</f>
        <v>12372856.166999999</v>
      </c>
      <c r="O177" s="66">
        <f t="shared" ref="O177:Q177" si="168">(111755044.44-29269336.66)*0.6/4</f>
        <v>12372856.166999999</v>
      </c>
      <c r="P177" s="66">
        <f t="shared" si="168"/>
        <v>12372856.166999999</v>
      </c>
      <c r="Q177" s="66">
        <f t="shared" si="168"/>
        <v>12372856.166999999</v>
      </c>
      <c r="R177" s="66">
        <f t="shared" ref="R177" si="169">(111755044.44-29269336.66)*0.4/4</f>
        <v>8248570.7780000009</v>
      </c>
      <c r="S177" s="66">
        <f t="shared" ref="S177:V178" si="170">+SUM(S179:S180)</f>
        <v>0</v>
      </c>
      <c r="T177" s="66">
        <f t="shared" si="170"/>
        <v>0</v>
      </c>
      <c r="U177" s="66">
        <f t="shared" si="170"/>
        <v>0</v>
      </c>
      <c r="V177" s="67">
        <f t="shared" si="170"/>
        <v>0</v>
      </c>
      <c r="W177" s="66">
        <f t="shared" ref="W177" si="171">(111755044.44-29269336.66)*0.4/4</f>
        <v>8248570.7780000009</v>
      </c>
      <c r="X177" s="38"/>
      <c r="Y177" s="38"/>
    </row>
    <row r="178" spans="1:25" ht="13.8" outlineLevel="2" thickBot="1" x14ac:dyDescent="0.3">
      <c r="A178" s="61"/>
      <c r="B178" s="68" t="s">
        <v>88</v>
      </c>
      <c r="C178" s="69"/>
      <c r="D178" s="69"/>
      <c r="E178" s="70">
        <v>0</v>
      </c>
      <c r="F178" s="70">
        <v>0</v>
      </c>
      <c r="G178" s="70">
        <v>6322520.79</v>
      </c>
      <c r="H178" s="70">
        <v>22946815.870000001</v>
      </c>
      <c r="I178" s="70">
        <v>8248570.7780000009</v>
      </c>
      <c r="J178" s="70">
        <v>8248570.7780000009</v>
      </c>
      <c r="K178" s="70">
        <v>8248570.7780000009</v>
      </c>
      <c r="L178" s="70">
        <v>8248570.7780000009</v>
      </c>
      <c r="M178" s="70">
        <v>8248570.7780000009</v>
      </c>
      <c r="N178" s="70">
        <v>12372856.166999999</v>
      </c>
      <c r="O178" s="70">
        <v>12372856.166999999</v>
      </c>
      <c r="P178" s="70">
        <v>12372856.166999999</v>
      </c>
      <c r="Q178" s="70">
        <v>12372856.166999999</v>
      </c>
      <c r="R178" s="70">
        <v>8248570.7780000009</v>
      </c>
      <c r="S178" s="70">
        <f t="shared" si="170"/>
        <v>0</v>
      </c>
      <c r="T178" s="70">
        <f t="shared" si="170"/>
        <v>0</v>
      </c>
      <c r="U178" s="70">
        <f t="shared" si="170"/>
        <v>0</v>
      </c>
      <c r="V178" s="71">
        <f t="shared" si="170"/>
        <v>0</v>
      </c>
      <c r="W178" s="70">
        <v>8248570.7780000009</v>
      </c>
      <c r="X178" s="38"/>
      <c r="Y178" s="38"/>
    </row>
  </sheetData>
  <phoneticPr fontId="14" type="noConversion"/>
  <pageMargins left="0.7" right="0.7" top="0.75" bottom="0.75" header="0.3" footer="0.3"/>
  <pageSetup paperSize="9" scale="19" fitToHeight="0" orientation="landscape" r:id="rId1"/>
  <customProperties>
    <customPr name="OrphanNamesChecke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62D-63DD-4392-B7FC-8DF7D2E72CC6}">
  <dimension ref="B8:P47"/>
  <sheetViews>
    <sheetView topLeftCell="A4" zoomScale="120" zoomScaleNormal="120" workbookViewId="0">
      <selection activeCell="J21" sqref="J21"/>
    </sheetView>
  </sheetViews>
  <sheetFormatPr defaultColWidth="8.77734375" defaultRowHeight="13.2" x14ac:dyDescent="0.25"/>
  <cols>
    <col min="1" max="1" width="8.77734375" style="1"/>
    <col min="2" max="2" width="21.77734375" style="1" customWidth="1"/>
    <col min="3" max="8" width="17.44140625" style="6" customWidth="1"/>
    <col min="9" max="9" width="13.44140625" style="6" bestFit="1" customWidth="1"/>
    <col min="10" max="10" width="12.109375" style="6" bestFit="1" customWidth="1"/>
    <col min="11" max="11" width="14.21875" style="6" bestFit="1" customWidth="1"/>
    <col min="12" max="12" width="13.88671875" style="1" bestFit="1" customWidth="1"/>
    <col min="13" max="13" width="11.77734375" style="1" bestFit="1" customWidth="1"/>
    <col min="14" max="14" width="15.21875" style="1" bestFit="1" customWidth="1"/>
    <col min="15" max="16384" width="8.77734375" style="1"/>
  </cols>
  <sheetData>
    <row r="8" spans="2:16" ht="17.399999999999999" x14ac:dyDescent="0.3">
      <c r="B8" s="34"/>
      <c r="C8" s="83" t="s">
        <v>102</v>
      </c>
      <c r="D8" s="84"/>
      <c r="E8" s="84"/>
      <c r="F8" s="84"/>
      <c r="G8" s="84"/>
      <c r="H8" s="84"/>
      <c r="I8" s="73"/>
      <c r="J8" s="73"/>
      <c r="K8" s="73"/>
      <c r="L8" s="73"/>
      <c r="M8" s="73"/>
      <c r="N8" s="73"/>
    </row>
    <row r="9" spans="2:16" ht="14.4" x14ac:dyDescent="0.3">
      <c r="B9" s="30" t="s">
        <v>30</v>
      </c>
      <c r="C9" s="12" t="s">
        <v>105</v>
      </c>
      <c r="D9" s="12" t="s">
        <v>107</v>
      </c>
      <c r="E9" s="12" t="s">
        <v>99</v>
      </c>
      <c r="F9" s="12" t="s">
        <v>100</v>
      </c>
      <c r="G9" s="12" t="s">
        <v>101</v>
      </c>
      <c r="H9" s="12" t="s">
        <v>106</v>
      </c>
      <c r="I9" s="73"/>
      <c r="J9" s="73"/>
      <c r="K9" s="73"/>
      <c r="L9" s="73"/>
      <c r="M9" s="73"/>
      <c r="N9" s="73"/>
      <c r="O9" s="73"/>
      <c r="P9" s="73"/>
    </row>
    <row r="10" spans="2:16" ht="14.4" x14ac:dyDescent="0.3">
      <c r="B10" s="1" t="s">
        <v>7</v>
      </c>
      <c r="C10" s="55">
        <v>390000</v>
      </c>
      <c r="D10" s="55">
        <v>620000.5</v>
      </c>
      <c r="E10" s="55">
        <f>SUM('Budget 3M'!I88:L88)</f>
        <v>2874163.6719999998</v>
      </c>
      <c r="F10" s="37">
        <f>SUM('Budget 3M'!N88:Q88)</f>
        <v>3381245.5079999999</v>
      </c>
      <c r="G10" s="37">
        <f>+SUM('Budget 3M'!S167:V167)</f>
        <v>0</v>
      </c>
      <c r="H10" s="37">
        <f>+Tabella1[[#This Row],[2022]]+Tabella1[[#This Row],[2023*]]+Tabella1[[#This Row],[2024]]+Tabella1[[#This Row],[2025]]+Tabella1[[#This Row],[2026]]</f>
        <v>7265409.6799999997</v>
      </c>
      <c r="I10" s="73"/>
      <c r="J10" s="73"/>
      <c r="K10" s="73"/>
      <c r="L10" s="73"/>
      <c r="M10" s="73"/>
      <c r="N10" s="73"/>
      <c r="O10" s="73"/>
      <c r="P10" s="73"/>
    </row>
    <row r="11" spans="2:16" ht="14.4" x14ac:dyDescent="0.3">
      <c r="B11" s="1" t="s">
        <v>22</v>
      </c>
      <c r="C11" s="55">
        <v>-4531</v>
      </c>
      <c r="D11" s="55">
        <v>-140503.94</v>
      </c>
      <c r="E11" s="55">
        <f>+SUM('Budget 3M'!I168:L168)</f>
        <v>-2766307.7569999998</v>
      </c>
      <c r="F11" s="37">
        <f>+SUM('Budget 3M'!N168:Q168)</f>
        <v>-3893389.5930000003</v>
      </c>
      <c r="G11" s="37">
        <f>+SUM('Budget 3M'!S168:V168)</f>
        <v>-420808.00074285717</v>
      </c>
      <c r="H11" s="37">
        <f>+Tabella1[[#This Row],[2022]]+Tabella1[[#This Row],[2023*]]+Tabella1[[#This Row],[2024]]+Tabella1[[#This Row],[2025]]+Tabella1[[#This Row],[2026]]</f>
        <v>-7225540.2907428574</v>
      </c>
      <c r="I11" s="73"/>
      <c r="J11" s="73"/>
      <c r="K11" s="73"/>
      <c r="L11" s="73"/>
      <c r="M11" s="73"/>
      <c r="N11" s="73"/>
      <c r="O11" s="73"/>
      <c r="P11" s="73"/>
    </row>
    <row r="12" spans="2:16" ht="14.4" x14ac:dyDescent="0.3">
      <c r="B12" s="29" t="s">
        <v>31</v>
      </c>
      <c r="C12" s="56">
        <f>SUBTOTAL(109,Tabella1[2022])</f>
        <v>385469</v>
      </c>
      <c r="D12" s="56">
        <f>SUBTOTAL(109,Tabella1[2023*])</f>
        <v>479496.56</v>
      </c>
      <c r="E12" s="56">
        <f>SUBTOTAL(109,Tabella1[2024])</f>
        <v>107855.91500000004</v>
      </c>
      <c r="F12" s="44">
        <f>SUBTOTAL(109,Tabella1[2025])</f>
        <v>-512144.08500000043</v>
      </c>
      <c r="G12" s="44">
        <f>SUBTOTAL(109,Tabella1[2026])</f>
        <v>-420808.00074285717</v>
      </c>
      <c r="H12" s="44">
        <f>+H10+H11</f>
        <v>39869.38925714232</v>
      </c>
      <c r="I12" s="73"/>
      <c r="J12" s="73"/>
      <c r="K12" s="73"/>
      <c r="L12" s="73"/>
      <c r="M12" s="73"/>
      <c r="N12" s="73"/>
      <c r="O12" s="73"/>
      <c r="P12" s="73"/>
    </row>
    <row r="14" spans="2:16" x14ac:dyDescent="0.25">
      <c r="B14" s="1" t="s">
        <v>108</v>
      </c>
      <c r="F14" s="37"/>
      <c r="G14" s="37"/>
      <c r="H14" s="37"/>
      <c r="I14" s="37"/>
      <c r="J14" s="37"/>
    </row>
    <row r="45" spans="2:5" ht="17.399999999999999" x14ac:dyDescent="0.3">
      <c r="B45" s="34"/>
      <c r="C45" s="80" t="s">
        <v>103</v>
      </c>
      <c r="D45" s="81"/>
      <c r="E45" s="82"/>
    </row>
    <row r="46" spans="2:5" x14ac:dyDescent="0.25">
      <c r="B46" s="30" t="s">
        <v>30</v>
      </c>
      <c r="C46" s="77" t="s">
        <v>99</v>
      </c>
      <c r="D46" s="77" t="s">
        <v>100</v>
      </c>
      <c r="E46" s="77" t="s">
        <v>101</v>
      </c>
    </row>
    <row r="47" spans="2:5" x14ac:dyDescent="0.25">
      <c r="B47" s="74" t="s">
        <v>104</v>
      </c>
      <c r="C47" s="74">
        <f>+SUM('Budget 3M'!L173)</f>
        <v>312144.0850000002</v>
      </c>
      <c r="D47" s="75">
        <f>+'Budget 3M'!Q173</f>
        <v>-200000</v>
      </c>
      <c r="E47" s="76">
        <f>+'Budget 3M'!V173</f>
        <v>-620808.00074285711</v>
      </c>
    </row>
  </sheetData>
  <mergeCells count="2">
    <mergeCell ref="C45:E45"/>
    <mergeCell ref="C8:H8"/>
  </mergeCells>
  <pageMargins left="0.7" right="0.7" top="0.75" bottom="0.75" header="0.3" footer="0.3"/>
  <pageSetup paperSize="9" orientation="portrait" r:id="rId1"/>
  <customProperties>
    <customPr name="OrphanNamesChecked" r:id="rId2"/>
  </customPropertie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3M</vt:lpstr>
      <vt:lpstr>Recap&amp;Charts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Verrelli</dc:creator>
  <cp:lastModifiedBy>Del Bello Adele</cp:lastModifiedBy>
  <cp:lastPrinted>2023-03-16T15:09:57Z</cp:lastPrinted>
  <dcterms:created xsi:type="dcterms:W3CDTF">2023-03-01T11:02:37Z</dcterms:created>
  <dcterms:modified xsi:type="dcterms:W3CDTF">2024-01-08T15:18:20Z</dcterms:modified>
</cp:coreProperties>
</file>